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2347870\Documents\Uploads\Qualifications\2023\"/>
    </mc:Choice>
  </mc:AlternateContent>
  <xr:revisionPtr revIDLastSave="0" documentId="8_{24E18E10-457A-4563-BB8D-F8AC1D5FAEE9}" xr6:coauthVersionLast="47" xr6:coauthVersionMax="47" xr10:uidLastSave="{00000000-0000-0000-0000-000000000000}"/>
  <bookViews>
    <workbookView xWindow="-28920" yWindow="-120" windowWidth="29040" windowHeight="15720" xr2:uid="{00000000-000D-0000-FFFF-FFFF00000000}"/>
  </bookViews>
  <sheets>
    <sheet name="Cover Sheet" sheetId="1" r:id="rId1"/>
    <sheet name="Table of Contents" sheetId="2" r:id="rId2"/>
    <sheet name="Notes" sheetId="3" r:id="rId3"/>
    <sheet name="NI" sheetId="4" r:id="rId4"/>
    <sheet name="Male" sheetId="5" r:id="rId5"/>
    <sheet name="Female" sheetId="6" r:id="rId6"/>
    <sheet name="Aged_16_to_24" sheetId="7" r:id="rId7"/>
    <sheet name="Aged_25_to_34" sheetId="8" r:id="rId8"/>
    <sheet name="Aged_35_to_49" sheetId="9" r:id="rId9"/>
    <sheet name="Aged_50_to_64" sheetId="10" r:id="rId10"/>
    <sheet name="Disabled" sheetId="11" r:id="rId11"/>
    <sheet name="Not_disabled" sheetId="12" r:id="rId12"/>
    <sheet name="Deprivation"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3" i="2" l="1"/>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alcChain>
</file>

<file path=xl/sharedStrings.xml><?xml version="1.0" encoding="utf-8"?>
<sst xmlns="http://schemas.openxmlformats.org/spreadsheetml/2006/main" count="1145" uniqueCount="295">
  <si>
    <t>Qualified to level 2 and above and Level 3 and above, Northern Ireland 2023</t>
  </si>
  <si>
    <t>The following tables provide qualifications data for January to December 2023 as sourced from the Labour Force Survey (LFS).</t>
  </si>
  <si>
    <t>The Labour Force Survey</t>
  </si>
  <si>
    <t>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t>
  </si>
  <si>
    <t>Data was taken from the annual dataset from the Labour Force Survey.  The annual dataset is created by selecting the relevant cases from each quarter and combining them to create a dataset of unique cases. Selecting all wave one and five interviews allows the maximum number of respondents over a one-year period to be included whilst avoiding double counting. 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consists of around 2,500 households, made up of five 'waves', each containing approximately 500 private households, with a total of around 4000 individuals.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</si>
  <si>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t>
  </si>
  <si>
    <t>Because the LFS is a sample survey, results are subject to sampling error, i.e. the actual proportion of the population in private households with a particular characteristic may differ from the proportion of the LFS sample with that characteristic.</t>
  </si>
  <si>
    <t>Publication dates</t>
  </si>
  <si>
    <t>The data tables within this spreadsheet were published at 9.30am on 03 October 2024</t>
  </si>
  <si>
    <t>Notes, shading, no data and rounding</t>
  </si>
  <si>
    <t>Some cells in the tables refer to notes which can be found in the notes worksheet. Note markers are presented in square brackets, for example: [Note 1].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Estimates under a cell count of 3 are disclosive and therefore suppressed and are identified by [d] in the cell, if applicable.
Figures are rounded to the nearest thousand and therefore may not sum . Estimates of 499 and less that would be rounded down to 0 are identified by [low] in the cell. Where there is a negative number or rate for a lower confidence interval limit, these are identified by [n] within the cell. 
In cases where there are null values in the data these have been excluded which can cause slight differences in total numbers and percentages.</t>
  </si>
  <si>
    <t>LFS revisions</t>
  </si>
  <si>
    <t>Typically, the Office for National Statistics (ONS) would reweight the LFS every two years to take account of updated population estimates and projections.
LFS microdata are routinely revised to incorporate the latest population estimates. Revisions were published in March 2019 (affecting LFS data from June-August 2011 to October-December 2018), October 2020 (affecting data for January-March 2020 to May-July 2020), July 2021 (affecting data from January-March 2020 to February-April 2021), to include new population weights using PAYE Real-Time Information data and June 2022 (affecting LFS data from January-March 2020 to January-March 2022) to include new population weights using PAYE Real-Time Information and with the introduction of the non-response bias adjustment to Northern Ireland data.
The latest reweighting was introduced in February 2024, affecting data from July-September 2022 to September-November 2023, to incorporate the latest estimates of the size and composition of the UK population.</t>
  </si>
  <si>
    <t>Background information - LFS</t>
  </si>
  <si>
    <t>Impact of reweighting on Labour Force Survey key indicators, UK: 2022</t>
  </si>
  <si>
    <t>More information on the revision policy concerning labour market statistics can be found through the following link:</t>
  </si>
  <si>
    <t>Revisions policies for labour market statistics</t>
  </si>
  <si>
    <t>More NI labour market data</t>
  </si>
  <si>
    <t>Labour Market and Social Welfare</t>
  </si>
  <si>
    <t>UK employment and labour market data</t>
  </si>
  <si>
    <t>ONS employment and labour market statistics</t>
  </si>
  <si>
    <t>Further information on using labour market statistics can be found on the Office for National Statistics (ONS) website:</t>
  </si>
  <si>
    <t>Labour Force Survey Quality and Methodology</t>
  </si>
  <si>
    <t>Guide to Labour Market Statistics</t>
  </si>
  <si>
    <t>Glossary</t>
  </si>
  <si>
    <t>For further information contact:</t>
  </si>
  <si>
    <t>lfs@finance-ni.gov.uk</t>
  </si>
  <si>
    <t>Table of contents</t>
  </si>
  <si>
    <t>Worksheet name</t>
  </si>
  <si>
    <t>Table no.</t>
  </si>
  <si>
    <t>Table name</t>
  </si>
  <si>
    <t>Notes</t>
  </si>
  <si>
    <t>Notes and definitions</t>
  </si>
  <si>
    <t>NI</t>
  </si>
  <si>
    <t>Level 2 and above and Level 3 and above qualifications, NI, aged 16 to 64, number and percentage, 2016 to 2023</t>
  </si>
  <si>
    <t>Level 2 and above and Level 3 and above qualifications, Antrim and Newtownabbey, aged 16 to 64, number and percentage, 2016 to 2023</t>
  </si>
  <si>
    <t>Level 2 and above and Level 3 and above qualifications, Ards and North Down, aged 16 to 64, number and percentage, 2016 to 2023</t>
  </si>
  <si>
    <t>Level 2 and above and Level 3 and above qualifications, Armagh City, Banbridge and Craigavon, aged 16 to 64, number and percentage, 2016 to 2023</t>
  </si>
  <si>
    <t>Level 2 and above and Level 3 and above qualifications, Belfast, aged 16 to 64, number and percentage, 2016 to 2023</t>
  </si>
  <si>
    <t>Level 2 and above and Level 3 and above qualifications, Causeway Coast and Glens, aged 16 to 64, number and percentage, 2016 to 2023</t>
  </si>
  <si>
    <t>Level 2 and above and Level 3 and above qualifications, Derry City and Strabane, aged 16 to 64, number and percentage, 2016 to 2023</t>
  </si>
  <si>
    <t>Level 2 and above and Level 3 and above qualifications, Fermanagh and Omagh, aged 16 to 64, number and percentage, 2016 to 2023</t>
  </si>
  <si>
    <t>Level 2 and above and Level 3 and above qualifications, Lisburn and Castlereagh, aged 16 to 64, number and percentage, 2016 to 2023</t>
  </si>
  <si>
    <t>Level 2 and above and Level 3 and above qualifications, Mid Ulster, aged 16 to 64, number and percentage, 2016 to 2023</t>
  </si>
  <si>
    <t>Level 2 and above and Level 3 and above qualifications, Mid and East Antrim, aged 16 to 64, number and percentage, 2016 to 2023</t>
  </si>
  <si>
    <t>Level 2 and above and Level 3 and above qualifications, Newry Mourne and Down, aged 16 to 64, number and percentage, 2016 to 2023</t>
  </si>
  <si>
    <t>Males</t>
  </si>
  <si>
    <t>Level 2 and above and Level 3 and above qualifications of males, NI, aged 16 to 64, number and percentage, 2016 to 2023</t>
  </si>
  <si>
    <t>Level 2 and above and Level 3 and above qualifications of males, Antrim and Newtownabbey, aged 16 to 64, number and percentage, 2016 to 2023</t>
  </si>
  <si>
    <t>Level 2 and above and Level 3 and above qualifications of males, Ards and North Down, aged 16 to 64, number and percentage, 2016 to 2023</t>
  </si>
  <si>
    <t>Level 2 and above and Level 3 and above qualifications of males, Armagh City, Banbridge and Craigavon, aged 16 to 64, number and percentage, 2016 to 2023</t>
  </si>
  <si>
    <t>Level 2 and above and Level 3 and above qualifications of males, Belfast, aged 16 to 64, number and percentage, 2016 to 2023</t>
  </si>
  <si>
    <t>Level 2 and above and Level 3 and above qualifications of males, Causeway Coast and Glens, aged 16 to 64, number and percentage, 2016 to 2023</t>
  </si>
  <si>
    <t>Level 2 and above and Level 3 and above qualifications of males, Derry City and Strabane, aged 16 to 64, number and percentage, 2016 to 2023</t>
  </si>
  <si>
    <t>Level 2 and above and Level 3 and above qualifications of males, Fermanagh and Omagh, aged 16 to 64, number and percentage, 2016 to 2023</t>
  </si>
  <si>
    <t>Level 2 and above and Level 3 and above qualifications of males, Lisburn and Castlereagh, aged 16 to 64, number and percentage, 2016 to 2023</t>
  </si>
  <si>
    <t>Level 2 and above and Level 3 and above qualifications of males, Mid Ulster, aged 16 to 64, number and percentage, 2016 to 2023</t>
  </si>
  <si>
    <t>Level 2 and above and Level 3 and above qualifications of males, Mid and East Antrim, aged 16 to 64, number and percentage, 2016 to 2023</t>
  </si>
  <si>
    <t>Level 2 and above and Level 3 and above qualifications of males, Newry Mourne and Down, aged 16 to 64, number and percentage, 2016 to 2023</t>
  </si>
  <si>
    <t>Females</t>
  </si>
  <si>
    <t>Level 2 and above and Level 3 and above qualifications of females, NI, aged 16 to 64, number and percentage, 2016 to 2023</t>
  </si>
  <si>
    <t>Level 2 and above and Level 3 and above qualifications of females, Antrim and Newtownabbey, aged 16 to 64, number and percentage, 2016 to 2023</t>
  </si>
  <si>
    <t>Level 2 and above and Level 3 and above qualifications of females, Ards and North Down, aged 16 to 64, number and percentage, 2016 to 2023</t>
  </si>
  <si>
    <t>Level 2 and above and Level 3 and above qualifications of females, Armagh City, Banbridge and Craigavon, aged 16 to 64, number and percentage, 2016 to 2023</t>
  </si>
  <si>
    <t>Level 2 and above and Level 3 and above qualifications of females, Belfast, aged 16 to 64, number and percentage, 2016 to 2023</t>
  </si>
  <si>
    <t>Level 2 and above and Level 3 and above qualifications of females, Causeway Coast and Glens, aged 16 to 64, number and percentage, 2016 to 2023</t>
  </si>
  <si>
    <t>Level 2 and above and Level 3 and above qualifications of females, Derry City and Strabane, aged 16 to 64, number and percentage, 2016 to 2023</t>
  </si>
  <si>
    <t>Level 2 and above and Level 3 and above qualifications of females, Fermanagh and Omagh, aged 16 to 64, number and percentage, 2016 to 2023</t>
  </si>
  <si>
    <t>Level 2 and above and Level 3 and above qualifications of females, Lisburn and Castlereagh, aged 16 to 64, number and percentage, 2016 to 2023</t>
  </si>
  <si>
    <t>Level 2 and above and Level 3 and above qualifications of females, Mid Ulster, aged 16 to 64, number and percentage, 2016 to 2023</t>
  </si>
  <si>
    <t>Level 2 and above and Level 3 and above qualifications of females, Mid and East Antrim, aged 16 to 64, number and percentage, 2016 to 2023</t>
  </si>
  <si>
    <t>Level 2 and above and Level 3 and above qualifications of females, Newry Mourne and Down, aged 16 to 64, number and percentage, 2016 to 2023</t>
  </si>
  <si>
    <t>Aged_16_to_24</t>
  </si>
  <si>
    <t>Level 2 and above and Level 3 and above qualifications, NI, aged 16 to 24, number and percentage, 2016 to 2023</t>
  </si>
  <si>
    <t>Level 2 and above and Level 3 and above qualifications, Antrim and Newtownabbey, aged 16 to 24, number and percentage, 2016 to 2023</t>
  </si>
  <si>
    <t>Level 2 and above and Level 3 and above qualifications, Ards and North Down, aged 16 to 24, number and percentage, 2016 to 2023</t>
  </si>
  <si>
    <t>Level 2 and above and Level 3 and above qualifications, Armagh City, Banbridge and Craigavon, aged 16 to 24, number and percentage, 2016 to 2023</t>
  </si>
  <si>
    <t>Level 2 and above and Level 3 and above qualifications, Belfast, aged 16 to 24, number and percentage, 2016 to 2023</t>
  </si>
  <si>
    <t>Level 2 and above and Level 3 and above qualifications, Causeway Coast and Glens, aged 16 to 24, number and percentage, 2016 to 2023</t>
  </si>
  <si>
    <t>Level 2 and above and Level 3 and above qualifications, Derry City and Strabane, aged 16 to 24, number and percentage, 2016 to 2023</t>
  </si>
  <si>
    <t>Level 2 and above and Level 3 and above qualifications, Fermanagh and Omagh, aged 16 to 24, number and percentage, 2016 to 2023</t>
  </si>
  <si>
    <t>Level 2 and above and Level 3 and above qualifications, Lisburn and Castlereagh, aged 16 to 24, number and percentage, 2016 to 2023</t>
  </si>
  <si>
    <t>Level 2 and above and Level 3 and above qualifications, Mid Ulster, aged 16 to 24, number and percentage, 2016 to 2023</t>
  </si>
  <si>
    <t>Level 2 and above and Level 3 and above qualifications, Mid and East Antrim, aged 16 to 24, number and percentage, 2016 to 2023</t>
  </si>
  <si>
    <t>Level 2 and above and Level 3 and above qualifications, Newry Mourne and Down, aged 16 to 24, number and percentage, 2016 to 2023</t>
  </si>
  <si>
    <t>Aged_25_to_34</t>
  </si>
  <si>
    <t>Level 2 and above and Level 3 and above qualifications, NI, aged 25 to 34, number and percentage, 2016 to 2023</t>
  </si>
  <si>
    <t>Level 2 and above and Level 3 and above qualifications, Antrim and Newtownabbey, aged 25 to 34, number and percentage, 2016 to 2023</t>
  </si>
  <si>
    <t>Level 2 and above and Level 3 and above qualifications, Ards and North Down, aged 25 to 34, number and percentage, 2016 to 2023</t>
  </si>
  <si>
    <t>Level 2 and above and Level 3 and above qualifications, Armagh City, Banbridge and Craigavon, aged 25 to 34, number and percentage, 2016 to 2023</t>
  </si>
  <si>
    <t>Level 2 and above and Level 3 and above qualifications, Belfast, aged 25 to 34, number and percentage, 2016 to 2023</t>
  </si>
  <si>
    <t>Level 2 and above and Level 3 and above qualifications, Causeway Coast and Glens, aged 25 to 34, number and percentage, 2016 to 2023</t>
  </si>
  <si>
    <t>Level 2 and above and Level 3 and above qualifications, Derry City and Strabane, aged 25 to 34, number and percentage, 2016 to 2023</t>
  </si>
  <si>
    <t>Level 2 and above and Level 3 and above qualifications, Fermanagh and Omagh, aged 25 to 34, number and percentage, 2016 to 2023</t>
  </si>
  <si>
    <t>Level 2 and above and Level 3 and above qualifications, Lisburn and Castlereagh, aged 25 to 34, number and percentage, 2016 to 2023</t>
  </si>
  <si>
    <t>Level 2 and above and Level 3 and above qualifications, Mid Ulster, aged 25 to 34, number and percentage, 2016 to 2023</t>
  </si>
  <si>
    <t>Level 2 and above and Level 3 and above qualifications, Mid and East Antrim, aged 25 to 34, number and percentage, 2016 to 2023</t>
  </si>
  <si>
    <t>Level 2 and above and Level 3 and above qualifications, Newry Mourne and Down, aged 25 to 34, number and percentage, 2016 to 2023</t>
  </si>
  <si>
    <t>Aged_35_to_49</t>
  </si>
  <si>
    <t>Level 2 and above and Level 3 and above qualifications, NI, aged 35 to 49, number and percentage, 2016 to 2023</t>
  </si>
  <si>
    <t>Level 2 and above and Level 3 and above qualifications, Antrim and Newtownabbey, aged 35 to 49, number and percentage, 2016 to 2023</t>
  </si>
  <si>
    <t>Level 2 and above and Level 3 and above qualifications, Ards and North Down, aged 35 to 49, number and percentage, 2016 to 2023</t>
  </si>
  <si>
    <t>Level 2 and above and Level 3 and above qualifications, Armagh City, Banbridge and Craigavon, aged 35 to 49, number and percentage, 2016 to 2023</t>
  </si>
  <si>
    <t>Level 2 and above and Level 3 and above qualifications, Belfast, aged 35 to 49, number and percentage, 2016 to 2023</t>
  </si>
  <si>
    <t>Level 2 and above and Level 3 and above qualifications, Causeway Coast and Glens, aged 35 to 49, number and percentage, 2016 to 2023</t>
  </si>
  <si>
    <t>Level 2 and above and Level 3 and above qualifications, Derry City and Strabane, aged 35 to 49, number and percentage, 2016 to 2023</t>
  </si>
  <si>
    <t>Level 2 and above and Level 3 and above qualifications, Fermanagh and Omagh, aged 35 to 49, number and percentage, 2016 to 2023</t>
  </si>
  <si>
    <t>Level 2 and above and Level 3 and above qualifications, Lisburn and Castlereagh, aged 35 to 49, number and percentage, 2016 to 2023</t>
  </si>
  <si>
    <t>Level 2 and above and Level 3 and above qualifications, Mid Ulster, aged 35 to 49, number and percentage, 2016 to 2023</t>
  </si>
  <si>
    <t>Level 2 and above and Level 3 and above qualifications, Mid and East Antrim, aged 35 to 49, number and percentage, 2016 to 2023</t>
  </si>
  <si>
    <t>Level 2 and above and Level 3 and above qualifications, Newry Mourne and Down, aged 35 to 49, number and percentage, 2016 to 2023</t>
  </si>
  <si>
    <t>Aged_50_to_64</t>
  </si>
  <si>
    <t>Level 2 and above and Level 3 and above qualifications, NI, aged 50 to 64, number and percentage, 2016 to 2023</t>
  </si>
  <si>
    <t>Level 2 and above and Level 3 and above qualifications, Antrim and Newtownabbey, aged 50 to 64, number and percentage, 2016 to 2023</t>
  </si>
  <si>
    <t>Level 2 and above and Level 3 and above qualifications, Ards and North Down, aged 50 to 64, number and percentage, 2016 to 2023</t>
  </si>
  <si>
    <t>Level 2 and above and Level 3 and above qualifications, Armagh City, Banbridge and Craigavon, aged 50 to 64, number and percentage, 2016 to 2023</t>
  </si>
  <si>
    <t>Level 2 and above and Level 3 and above qualifications, Belfast, aged 50 to 64, number and percentage, 2016 to 2023</t>
  </si>
  <si>
    <t>Level 2 and above and Level 3 and above qualifications, Causeway Coast and Glens, aged 50 to 64, number and percentage, 2016 to 2023</t>
  </si>
  <si>
    <t>Level 2 and above and Level 3 and above qualifications, Derry City and Strabane, aged 50 to 64, number and percentage, 2016 to 2023</t>
  </si>
  <si>
    <t>Level 2 and above and Level 3 and above qualifications, Fermanagh and Omagh, aged 50 to 64, number and percentage, 2016 to 2023</t>
  </si>
  <si>
    <t>Level 2 and above and Level 3 and above qualifications, Lisburn and Castlereagh, aged 50 to 64, number and percentage, 2016 to 2023</t>
  </si>
  <si>
    <t>Level 2 and above and Level 3 and above qualifications, Mid Ulster, aged 50 to 64, number and percentage, 2016 to 2023</t>
  </si>
  <si>
    <t>Level 2 and above and Level 3 and above qualifications, Mid and East Antrim, aged 50 to 64, number and percentage, 2016 to 2023</t>
  </si>
  <si>
    <t>Level 2 and above and Level 3 and above qualifications, Newry Mourne and Down, aged 50 to 64, number and percentage, 2016 to 2023</t>
  </si>
  <si>
    <t>Disabled</t>
  </si>
  <si>
    <t>Level 2 and above and Level 3 and above qualifications of persons with a disability, NI, aged 16 to 64, number and percentage, 2016 to 2023</t>
  </si>
  <si>
    <t>Level 2 and above and Level 3 and above qualifications of persons with a disability, Antrim and Newtownabbey, aged 16 to 64, number and percentage, 2016 to 2023</t>
  </si>
  <si>
    <t>Level 2 and above and Level 3 and above qualifications of persons with a disability, Ards and North Down, aged 16 to 64, number and percentage, 2016 to 2023</t>
  </si>
  <si>
    <t>Level 2 and above and Level 3 and above qualifications of persons with a disability, Armagh City, Banbridge and Craigavon, aged 16 to 64, number and percentage, 2016 to 2023</t>
  </si>
  <si>
    <t>Level 2 and above and Level 3 and above qualifications of persons with a disability, Belfast, aged 16 to 64, number and percentage, 2016 to 2023</t>
  </si>
  <si>
    <t>Level 2 and above and Level 3 and above qualifications of persons with a disability, Causeway Coast and Glens, aged 16 to 64, number and percentage, 2016 to 2023</t>
  </si>
  <si>
    <t>Level 2 and above and Level 3 and above qualifications of persons with a disability, Derry City and Strabane, aged 16 to 64, number and percentage, 2016 to 2023</t>
  </si>
  <si>
    <t>Level 2 and above and Level 3 and above qualifications of persons with a disability, Fermanagh and Omagh, aged 16 to 64, number and percentage, 2016 to 2023</t>
  </si>
  <si>
    <t>Level 2 and above and Level 3 and above qualifications of persons with a disability, Lisburn and Castlereagh, aged 16 to 64, number and percentage, 2016 to 2023</t>
  </si>
  <si>
    <t>Level 2 and above and Level 3 and above qualifications of persons with a disability, Mid Ulster, aged 16 to 64, number and percentage, 2016 to 2023</t>
  </si>
  <si>
    <t>Level 2 and above and Level 3 and above qualifications of persons with a disability, Mid and East Antrim, aged 16 to 64, number and percentage, 2016 to 2023</t>
  </si>
  <si>
    <t>Level 2 and above and Level 3 and above qualifications of persons with a disability, Newry Mourne and Down, aged 16 to 64, number and percentage, 2016 to 2023</t>
  </si>
  <si>
    <t>Not_disabled</t>
  </si>
  <si>
    <t>Level 2 and above and Level 3 and above qualifications of persons without a disability, NI, aged 16 to 64, number and percentage, 2016 to 2023</t>
  </si>
  <si>
    <t>Level 2 and above and Level 3 and above qualifications of persons without a disability, Antrim and Newtownabbey, aged 16 to 64, number and percentage, 2016 to 2023</t>
  </si>
  <si>
    <t>Level 2 and above and Level 3 and above qualifications of persons without a disability, Ards and North Down, aged 16 to 64, number and percentage, 2016 to 2023</t>
  </si>
  <si>
    <t>Level 2 and above and Level 3 and above qualifications of persons without a disability, Armagh City, Banbridge and Craigavon, aged 16 to 64, number and percentage, 2016 to 2023</t>
  </si>
  <si>
    <t>Level 2 and above and Level 3 and above qualifications of persons without a disability, Belfast, aged 16 to 64, number and percentage, 2016 to 2023</t>
  </si>
  <si>
    <t>Level 2 and above and Level 3 and above qualifications of persons without a disability, Causeway Coast and Glens, aged 16 to 64, number and percentage, 2016 to 2023</t>
  </si>
  <si>
    <t>Level 2 and above and Level 3 and above qualifications of persons without a disability, Derry City and Strabane, aged 16 to 64, number and percentage, 2016 to 2023</t>
  </si>
  <si>
    <t>Level 2 and above and Level 3 and above qualifications of persons without a disability, Fermanagh and Omagh, aged 16 to 64, number and percentage, 2016 to 2023</t>
  </si>
  <si>
    <t>Level 2 and above and Level 3 and above qualifications of persons without a disability, Lisburn and Castlereagh, aged 16 to 64, number and percentage, 2016 to 2023</t>
  </si>
  <si>
    <t>Level 2 and above and Level 3 and above qualifications of persons without a disability, Mid Ulster, aged 16 to 64, number and percentage, 2016 to 2023</t>
  </si>
  <si>
    <t>Level 2 and above and Level 3 and above qualifications of persons without a disability, Mid and East Antrim, aged 16 to 64, number and percentage, 2016 to 2023</t>
  </si>
  <si>
    <t>Level 2 and above and Level 3 and above qualifications of persons without a disability, Newry Mourne and Down, aged 16 to 64, number and percentage, 2016 to 2023</t>
  </si>
  <si>
    <t>Deprivation</t>
  </si>
  <si>
    <t>Level 2 and above and Level 3 and above qualifications in deprivation quintile 1 (most deprived), NI, aged 16 to 64, number and percentage, 2016 to 2023</t>
  </si>
  <si>
    <t>Level 2 and above and Level 3 and above qualifications in deprivation quintile 5 (least deprived), NI, aged 16 to 64, number and percentage, 2016 to 2023</t>
  </si>
  <si>
    <t>Note reference</t>
  </si>
  <si>
    <t>Note or definition</t>
  </si>
  <si>
    <t>Note 1</t>
  </si>
  <si>
    <t>Disability status
The GSS Harmonised Standards focus on a ‘core’ definition of people whose condition currently limits their activity.  Using the harmonised definition, which is only consistent and comparable across the UK from April 2013 onwards, the following conditions must be met to classify a person as having a disability:
• Answered ‘Yes’ to the question ‘Do you have any physical or mental conditions or illnesses lasting or expecting to last 12 months or more?’ and
• Answered either ‘Yes, a lot’ OR ‘Yes, a little’ to the question ‘Does your condition or illness reduce your ability to carry out day-to-day activities’ 
People without disabilities are those who do not meet the harmonised standard definition of disability.
Where a respondent answers that they have a physical or mental health condition(s) or illness(es) lasting or expected to last 12 months or more but it doesn’t restrict their activity, they are not classified as having a disability.</t>
  </si>
  <si>
    <t>Note 2</t>
  </si>
  <si>
    <t>Deprivation Quintile
The Northern Ireland Multiple Deprivation Measure is the official measure of spatial deprivation for NI and comprises seven domains of deprivation as follows: income, employment, health, education, proximity to services, living environment and crime. Where 1 is the most deprived and 5 is the least deprived.
The 2010 MDM definition was used up to and including 2016. The 2017 MDM definition was used for all years after.</t>
  </si>
  <si>
    <t>Note 3</t>
  </si>
  <si>
    <t>Qualification Level
Qualification levels are assigned according to the Regulated Qualification Framework (RQF), based on the highest qualification held.
The qualification levels provided in this spreadsheet are broadly equivalent to:
• Level 2: O-level, GCSE grade A*-C - 5 or more
• Level 3: A-level - more than 1 (or higher)
A methodology document on Highest Qualification Levels is available on the LFS background and quality page (see cover_sheet), which provides a fuller explanation of methodology and more detail on qualifications included in all levels.</t>
  </si>
  <si>
    <t>Level 2 and above and Level 3 and above qualifications by LGD, NI, aged 16 to 64, number and percentage, 2016 to 2023</t>
  </si>
  <si>
    <t>This worksheet presents twelve tables next to each other vertically with one blank row in between each table.</t>
  </si>
  <si>
    <t>Some cells refer to notes where the explanation can be found on the Notes worksheet.</t>
  </si>
  <si>
    <t>Full explanation of notes, shading, rounding and disclosive data is available in the Cover sheet.</t>
  </si>
  <si>
    <t>Source: Labour Force Survey, January to December 2016 to 2023</t>
  </si>
  <si>
    <t>Table 1a: Level 2 and above and Level 3 and above qualifications, NI, aged 16 to 64, number and percentage, 2016 to 2023</t>
  </si>
  <si>
    <t>Year</t>
  </si>
  <si>
    <t>Level 2 and above (number)</t>
  </si>
  <si>
    <t>Level 2 and above (percentage)</t>
  </si>
  <si>
    <t>Level 3 and above (number)</t>
  </si>
  <si>
    <t>Level 3 and above (percentage)</t>
  </si>
  <si>
    <t>Small Sample Size Cells</t>
  </si>
  <si>
    <t>Table 1b: Level 2 and above and Level 3 and above qualifications, Antrim and Newtownabbey, aged 16 to 64, number and percentage, 2016 to 2023</t>
  </si>
  <si>
    <t>Table 1c: Level 2 and above and Level 3 and above qualifications, Ards and North Down, aged 16 to 64, number and percentage, 2016 to 2023</t>
  </si>
  <si>
    <t>Table 1d: Level 2 and above and Level 3 and above qualifications, Armagh City, Banbridge and Craigavon, aged 16 to 64, number and percentage, 2016 to 2023</t>
  </si>
  <si>
    <t>Table 1e: Level 2 and above and Level 3 and above qualifications, Belfast, aged 16 to 64, number and percentage, 2016 to 2023</t>
  </si>
  <si>
    <t>Table 1f: Level 2 and above and Level 3 and above qualifications, Causeway Coast and Glens, aged 16 to 64, number and percentage, 2016 to 2023</t>
  </si>
  <si>
    <t>Table 1g: Level 2 and above and Level 3 and above qualifications, Derry City and Strabane, aged 16 to 64, number and percentage, 2016 to 2023</t>
  </si>
  <si>
    <t>Table 1h: Level 2 and above and Level 3 and above qualifications, Fermanagh and Omagh, aged 16 to 64, number and percentage, 2016 to 2023</t>
  </si>
  <si>
    <t>Table 1i: Level 2 and above and Level 3 and above qualifications, Lisburn and Castlereagh, aged 16 to 64, number and percentage, 2016 to 2023</t>
  </si>
  <si>
    <t>Table 1l: Level 2 and above and Level 3 and above qualifications, Newry Mourne and Down, aged 16 to 64, number and percentage, 2016 to 2023</t>
  </si>
  <si>
    <t>Level 2 and above and Level 3 and above qualifications of males, LGD, aged 16 to 64, number and percentage, 2016 to 2023</t>
  </si>
  <si>
    <t>Table 2.1a: Level 2 and above and Level 3 and above qualifications of males, NI, aged 16 to 64, number and percentage, 2016 to 2023</t>
  </si>
  <si>
    <t>Table 2.1b: Level 2 and above and Level 3 and above qualifications of males, Antrim and Newtownabbey, aged 16 to 64, number and percentage, 2016 to 2023</t>
  </si>
  <si>
    <t>Table 2.1c: Level 2 and above and Level 3 and above qualifications of males, Ards and North Down, aged 16 to 64, number and percentage, 2016 to 2023</t>
  </si>
  <si>
    <t>Table 2.1d: Level 2 and above and Level 3 and above qualifications of males, Armagh City, Banbridge and Craigavon, aged 16 to 64, number and percentage, 2016 to 2023</t>
  </si>
  <si>
    <t>Table 2.1e: Level 2 and above and Level 3 and above qualifications of males, Belfast, aged 16 to 64, number and percentage, 2016 to 2023</t>
  </si>
  <si>
    <t>Table 2.1f: Level 2 and above and Level 3 and above qualifications of males, Causeway Coast and Glens, aged 16 to 64, number and percentage, 2016 to 2023</t>
  </si>
  <si>
    <t>Table 2.1g: Level 2 and above and Level 3 and above qualifications of males, Derry City and Strabane, aged 16 to 64, number and percentage, 2016 to 2023</t>
  </si>
  <si>
    <t>Table 2.1h: Level 2 and above and Level 3 and above qualifications of males, Fermanagh and Omagh, aged 16 to 64, number and percentage, 2016 to 2023</t>
  </si>
  <si>
    <t>Table 2.1i: Level 2 and above and Level 3 and above qualifications of males, Lisburn and Castlereagh, aged 16 to 64, number and percentage, 2016 to 2023</t>
  </si>
  <si>
    <t>Table 2.1l: Level 2 and above and Level 3 and above qualifications of males, Newry Mourne and Down, aged 16 to 64, number and percentage, 2016 to 2023</t>
  </si>
  <si>
    <t>Level 2 and above and Level 3 and above qualifications of females, LGD, aged 16 to 64, number and percentage, 2016 to 2023</t>
  </si>
  <si>
    <t>Table 2.2a: Level 2 and above and Level 3 and above qualifications of females, NI, aged 16 to 64, number and percentage, 2016 to 2023</t>
  </si>
  <si>
    <t>Table 2.2b: Level 2 and above and Level 3 and above qualifications of females, Antrim and Newtownabbey, aged 16 to 64, number and percentage, 2016 to 2023</t>
  </si>
  <si>
    <t>Table 2.2c: Level 2 and above and Level 3 and above qualifications of females, Ards and North Down, aged 16 to 64, number and percentage, 2016 to 2023</t>
  </si>
  <si>
    <t>Table 2.2d: Level 2 and above and Level 3 and above qualifications of females, Armagh City, Banbridge and Craigavon, aged 16 to 64, number and percentage, 2016 to 2023</t>
  </si>
  <si>
    <t>Table 2.2e: Level 2 and above and Level 3 and above qualifications of females, Belfast, aged 16 to 64, number and percentage, 2016 to 2023</t>
  </si>
  <si>
    <t>Table 2.2f: Level 2 and above and Level 3 and above qualifications of females, Causeway Coast and Glens, aged 16 to 64, number and percentage, 2016 to 2023</t>
  </si>
  <si>
    <t>Table 2.2g: Level 2 and above and Level 3 and above qualifications of females, Derry City and Strabane, aged 16 to 64, number and percentage, 2016 to 2023</t>
  </si>
  <si>
    <t>Table 2.2h: Level 2 and above and Level 3 and above qualifications of females, Fermanagh and Omagh, aged 16 to 64, number and percentage, 2016 to 2023</t>
  </si>
  <si>
    <t>Table 2.2i: Level 2 and above and Level 3 and above qualifications of females, Lisburn and Castlereagh, aged 16 to 64, number and percentage, 2016 to 2023</t>
  </si>
  <si>
    <t>Table 2.2l: Level 2 and above and Level 3 and above qualifications of females, Newry Mourne and Down, aged 16 to 64, number and percentage, 2016 to 2023</t>
  </si>
  <si>
    <t>Level 2 and above and Level 3 and above qualifications, LGD, aged 16 to 24, number and percentage, 2016 to 2023</t>
  </si>
  <si>
    <t>Table 3.1a: Level 2 and above and Level 3 and above qualifications, NI, aged 16 to 24, number and percentage, 2016 to 2023</t>
  </si>
  <si>
    <t>Table 3.1b: Level 2 and above and Level 3 and above qualifications, Antrim and Newtownabbey, aged 16 to 24, number and percentage, 2016 to 2023</t>
  </si>
  <si>
    <t>[s] The following columns are shaded in this row:  B C D E</t>
  </si>
  <si>
    <t>[s] The following columns are shaded in this row:    D E</t>
  </si>
  <si>
    <t>Table 3.1c: Level 2 and above and Level 3 and above qualifications, Ards and North Down, aged 16 to 24, number and percentage, 2016 to 2023</t>
  </si>
  <si>
    <t>[s] The following columns are shaded in this row:  D E</t>
  </si>
  <si>
    <t>Table 3.1d: Level 2 and above and Level 3 and above qualifications, Armagh City, Banbridge and Craigavon, aged 16 to 24, number and percentage, 2016 to 2023</t>
  </si>
  <si>
    <t>Table 3.1e: Level 2 and above and Level 3 and above qualifications, Belfast, aged 16 to 24, number and percentage, 2016 to 2023</t>
  </si>
  <si>
    <t>Table 3.1f: Level 2 and above and Level 3 and above qualifications, Causeway Coast and Glens, aged 16 to 24, number and percentage, 2016 to 2023</t>
  </si>
  <si>
    <t>Table 3.1g: Level 2 and above and Level 3 and above qualifications, Derry City and Strabane, aged 16 to 24, number and percentage, 2016 to 2023</t>
  </si>
  <si>
    <t>Table 3.1h: Level 2 and above and Level 3 and above qualifications, Fermanagh and Omagh, aged 16 to 24, number and percentage, 2016 to 2023</t>
  </si>
  <si>
    <t>Table 3.1i: Level 2 and above and Level 3 and above qualifications, Lisburn and Castlereagh, aged 16 to 24, number and percentage, 2016 to 2023</t>
  </si>
  <si>
    <t>Table 3.1l: Level 2 and above and Level 3 and above qualifications, Newry Mourne and Down, aged 16 to 24, number and percentage, 2016 to 2023</t>
  </si>
  <si>
    <t>Level 2 and above and Level 3 and above qualifications, LGD, aged 25 to 34, number and percentage, 2016 to 2023</t>
  </si>
  <si>
    <t>Table 3.2a: Level 2 and above and Level 3 and above qualifications, NI, aged 25 to 34, number and percentage, 2016 to 2023</t>
  </si>
  <si>
    <t>Table 3.2b: Level 2 and above and Level 3 and above qualifications, Antrim and Newtownabbey, aged 25 to 34, number and percentage, 2016 to 2023</t>
  </si>
  <si>
    <t>Table 3.2c: Level 2 and above and Level 3 and above qualifications, Ards and North Down, aged 25 to 34, number and percentage, 2016 to 2023</t>
  </si>
  <si>
    <t>Table 3.2d: Level 2 and above and Level 3 and above qualifications, Armagh City, Banbridge and Craigavon, aged 25 to 34, number and percentage, 2016 to 2023</t>
  </si>
  <si>
    <t>Table 3.2e: Level 2 and above and Level 3 and above qualifications, Belfast, aged 25 to 34, number and percentage, 2016 to 2023</t>
  </si>
  <si>
    <t>Table 3.2f: Level 2 and above and Level 3 and above qualifications, Causeway Coast and Glens, aged 25 to 34, number and percentage, 2016 to 2023</t>
  </si>
  <si>
    <t>Table 3.2g: Level 2 and above and Level 3 and above qualifications, Derry City and Strabane, aged 25 to 34, number and percentage, 2016 to 2023</t>
  </si>
  <si>
    <t>Table 3.2h: Level 2 and above and Level 3 and above qualifications, Fermanagh and Omagh, aged 25 to 34, number and percentage, 2016 to 2023</t>
  </si>
  <si>
    <t>Table 3.2i: Level 2 and above and Level 3 and above qualifications, Lisburn and Castlereagh, aged 25 to 34, number and percentage, 2016 to 2023</t>
  </si>
  <si>
    <t>Table 3.2l: Level 2 and above and Level 3 and above qualifications, Newry Mourne and Down, aged 25 to 34, number and percentage, 2016 to 2023</t>
  </si>
  <si>
    <t>Level 2 and above and Level 3 and above qualifications, LGD, aged 35 to 49, number and percentage, 2016 to 2023</t>
  </si>
  <si>
    <t>Table 3.3a: Level 2 and above and Level 3 and above qualifications, NI, aged 35 to 49, number and percentage, 2016 to 2023</t>
  </si>
  <si>
    <t>Table 3.3b: Level 2 and above and Level 3 and above qualifications, Antrim and Newtownabbey, aged 35 to 49, number and percentage, 2016 to 2023</t>
  </si>
  <si>
    <t>Table 3.3c: Level 2 and above and Level 3 and above qualifications, Ards and North Down, aged 35 to 49, number and percentage, 2016 to 2023</t>
  </si>
  <si>
    <t>Table 3.3d: Level 2 and above and Level 3 and above qualifications, Armagh City, Banbridge and Craigavon, aged 35 to 49, number and percentage, 2016 to 2023</t>
  </si>
  <si>
    <t>Table 3.3e: Level 2 and above and Level 3 and above qualifications, Belfast, aged 35 to 49, number and percentage, 2016 to 2023</t>
  </si>
  <si>
    <t>Table 3.3f: Level 2 and above and Level 3 and above qualifications, Causeway Coast and Glens, aged 35 to 49, number and percentage, 2016 to 2023</t>
  </si>
  <si>
    <t>Table 3.3g: Level 2 and above and Level 3 and above qualifications, Derry City and Strabane, aged 35 to 49, number and percentage, 2016 to 2023</t>
  </si>
  <si>
    <t>Table 3.3h: Level 2 and above and Level 3 and above qualifications, Fermanagh and Omagh, aged 35 to 49, number and percentage, 2016 to 2023</t>
  </si>
  <si>
    <t>Table 3.3i: Level 2 and above and Level 3 and above qualifications, Lisburn and Castlereagh, aged 35 to 49, number and percentage, 2016 to 2023</t>
  </si>
  <si>
    <t>Table 3.3l: Level 2 and above and Level 3 and above qualifications, Newry Mourne and Down, aged 35 to 49, number and percentage, 2016 to 2023</t>
  </si>
  <si>
    <t>Level 2 and above and Level 3 and above qualifications, LGD, aged 50 to 64, number and percentage, 2016 to 2023</t>
  </si>
  <si>
    <t>Table 3.4a: Level 2 and above and Level 3 and above qualifications, NI, aged 50 to 64, number and percentage, 2016 to 2023</t>
  </si>
  <si>
    <t>Table 3.4b: Level 2 and above and Level 3 and above qualifications, Antrim and Newtownabbey, aged 50 to 64, number and percentage, 2016 to 2023</t>
  </si>
  <si>
    <t>Table 3.4c: Level 2 and above and Level 3 and above qualifications, Ards and North Down, aged 50 to 64, number and percentage, 2016 to 2023</t>
  </si>
  <si>
    <t>Table 3.4d: Level 2 and above and Level 3 and above qualifications, Armagh City, Banbridge and Craigavon, aged 50 to 64, number and percentage, 2016 to 2023</t>
  </si>
  <si>
    <t>Table 3.4e: Level 2 and above and Level 3 and above qualifications, Belfast, aged 50 to 64, number and percentage, 2016 to 2023</t>
  </si>
  <si>
    <t>Table 3.4f: Level 2 and above and Level 3 and above qualifications, Causeway Coast and Glens, aged 50 to 64, number and percentage, 2016 to 2023</t>
  </si>
  <si>
    <t>Table 3.4g: Level 2 and above and Level 3 and above qualifications, Derry City and Strabane, aged 50 to 64, number and percentage, 2016 to 2023</t>
  </si>
  <si>
    <t>Table 3.4h: Level 2 and above and Level 3 and above qualifications, Fermanagh and Omagh, aged 50 to 64, number and percentage, 2016 to 2023</t>
  </si>
  <si>
    <t>Table 3.4i: Level 2 and above and Level 3 and above qualifications, Lisburn and Castlereagh, aged 50 to 64, number and percentage, 2016 to 2023</t>
  </si>
  <si>
    <t>Table 3.4l: Level 2 and above and Level 3 and above qualifications, Newry Mourne and Down, aged 50 to 64, number and percentage, 2016 to 2023</t>
  </si>
  <si>
    <t>Level 2 and above and Level 3 and above qualifications for people with a disability, LGD, aged 16 to 64, number and percentage, 2016 to 2023</t>
  </si>
  <si>
    <t>Table 4.1a: Level 2 and above and Level 3 and above qualifications of persons with a disability, NI, aged 16 to 64, number and percentage, 2016 to 2023</t>
  </si>
  <si>
    <t>Table 4.1b: Level 2 and above and Level 3 and above qualifications of persons with a disability, Antrim and Newtownabbey, aged 16 to 64, number and percentage, 2016 to 2023</t>
  </si>
  <si>
    <t>Table 4.1c: Level 2 and above and Level 3 and above qualifications of persons with a disability, Ards and North Down, aged 16 to 64, number and percentage, 2016 to 2023</t>
  </si>
  <si>
    <t>Table 4.1d: Level 2 and above and Level 3 and above qualifications of persons with a disability, Armagh City, Banbridge and Craigavon, aged 16 to 64, number and percentage, 2016 to 2023</t>
  </si>
  <si>
    <t>Table 4.1e: Level 2 and above and Level 3 and above qualifications of persons with a disability, Belfast, aged 16 to 64, number and percentage, 2016 to 2023</t>
  </si>
  <si>
    <t>Table 4.1f: Level 2 and above and Level 3 and above qualifications of persons with a disability, Causeway Coast and Glens, aged 16 to 64, number and percentage, 2016 to 2023</t>
  </si>
  <si>
    <t>Table 4.1g: Level 2 and above and Level 3 and above qualifications of persons with a disability, Derry City and Strabane, aged 16 to 64, number and percentage, 2016 to 2023</t>
  </si>
  <si>
    <t>Table 4.1h: Level 2 and above and Level 3 and above qualifications of persons with a disability, Fermanagh and Omagh, aged 16 to 64, number and percentage, 2016 to 2023</t>
  </si>
  <si>
    <t>Table 4.1i: Level 2 and above and Level 3 and above qualifications of persons with a disability, Lisburn and Castlereagh, aged 16 to 64, number and percentage, 2016 to 2023</t>
  </si>
  <si>
    <t>Table 4.1l: Level 2 and above and Level 3 and above qualifications of persons with a disability, Newry Mourne and Down, aged 16 to 64, number and percentage, 2016 to 2023</t>
  </si>
  <si>
    <t>Level 2 and above and Level 3 and above qualifications for people without a disability, LGD, aged 16 to 64, number and percentage, 2016 to 2023</t>
  </si>
  <si>
    <t>Table 4.2a: Level 2 and above and Level 3 and above qualifications of persons without a disability, NI, aged 16 to 64, number and percentage, 2016 to 2023</t>
  </si>
  <si>
    <t>Table 4.2b: Level 2 and above and Level 3 and above qualifications of persons without a disability, Antrim and Newtownabbey, aged 16 to 64, number and percentage, 2016 to 2023</t>
  </si>
  <si>
    <t>Table 4.2c: Level 2 and above and Level 3 and above qualifications of persons without a disability, Ards and North Down, aged 16 to 64, number and percentage, 2016 to 2023</t>
  </si>
  <si>
    <t>Table 4.2d: Level 2 and above and Level 3 and above qualifications of persons without a disability, Armagh City, Banbridge and Craigavon, aged 16 to 64, number and percentage, 2016 to 2023</t>
  </si>
  <si>
    <t>Table 4.2e: Level 2 and above and Level 3 and above qualifications of persons without a disability, Belfast, aged 16 to 64, number and percentage, 2016 to 2023</t>
  </si>
  <si>
    <t>Table 4.2f: Level 2 and above and Level 3 and above qualifications of persons without a disability, Causeway Coast and Glens, aged 16 to 64, number and percentage, 2016 to 2023</t>
  </si>
  <si>
    <t>Table 4.2g: Level 2 and above and Level 3 and above qualifications of persons without a disability, Derry City and Strabane, aged 16 to 64, number and percentage, 2016 to 2023</t>
  </si>
  <si>
    <t>Table 4.2h: Level 2 and above and Level 3 and above qualifications of persons without a disability, Fermanagh and Omagh, aged 16 to 64, number and percentage, 2016 to 2023</t>
  </si>
  <si>
    <t>Table 4.2i: Level 2 and above and Level 3 and above qualifications of persons without a disability, Lisburn and Castlereagh, aged 16 to 64, number and percentage, 2016 to 2023</t>
  </si>
  <si>
    <t>Table 4.2l: Level 2 and above and Level 3 and above qualifications of persons without a disability, Newry Mourne and Down, aged 16 to 64, number and percentage, 2016 to 2023</t>
  </si>
  <si>
    <t>Level 2 and above and Level 3 and above qualifications by deprivation quintile, NI, aged 16 to 64, number and percentage, 2016 to 2023</t>
  </si>
  <si>
    <t>This worksheet presents two tables next to each other vertically with one blank row in between each table.</t>
  </si>
  <si>
    <t>Table 5.1a: Level 2 and above and Level 3 and above qualifications in deprivation quintile 1 (most deprived), NI, aged 16 to 64, number and percentage, 2016 to 2023</t>
  </si>
  <si>
    <t>Table 5.1b: Level 2 and above and Level 3 and above qualifications in deprivation quintile 5 (least deprived), NI, aged 16 to 64, number and percentage, 2016 to 2023</t>
  </si>
  <si>
    <t>Table 1j: Level 2 and above and Level 3 and above qualifications, Mid and East Antrim, aged 16 to 64, number and percentage, 2016 to 2023</t>
  </si>
  <si>
    <t>Table 2.1j: Level 2 and above and Level 3 and above qualifications of males, Mid and East Antrim, aged 16 to 64, number and percentage, 2016 to 2023</t>
  </si>
  <si>
    <t>Table 2.2j: Level 2 and above and Level 3 and above qualifications of females, Mid and East Antrim, aged 16 to 64, number and percentage, 2016 to 2023</t>
  </si>
  <si>
    <t>Table 3.1j: Level 2 and above and Level 3 and above qualifications, Mid and East Antrim, aged 16 to 24, number and percentage, 2016 to 2023</t>
  </si>
  <si>
    <t>Table 3.2j: Level 2 and above and Level 3 and above qualifications, Mid and East Antrim, aged 25 to 34, number and percentage, 2016 to 2023</t>
  </si>
  <si>
    <t>Table 3.3j: Level 2 and above and Level 3 and above qualifications, Mid and East Antrim, aged 35 to 49, number and percentage, 2016 to 2023</t>
  </si>
  <si>
    <t>Table 3.4j: Level 2 and above and Level 3 and above qualifications, Mid and East Antrim, aged 50 to 64, number and percentage, 2016 to 2023</t>
  </si>
  <si>
    <t>Table 4.1j: Level 2 and above and Level 3 and above qualifications of persons with a disability, Mid and East Antrim, aged 16 to 64, number and percentage, 2016 to 2023</t>
  </si>
  <si>
    <t>Table 4.2j: Level 2 and above and Level 3 and above qualifications of persons without a disability, Mid and East Antrim, aged 16 to 64, number and percentage, 2016 to 2023</t>
  </si>
  <si>
    <t>Table 1k: Level 2 and above and Level 3 and above qualifications, Mid Ulster, aged 16 to 64, number and percentage, 2016 to 2023</t>
  </si>
  <si>
    <t>Table 2.1k: Level 2 and above and Level 3 and above qualifications of males, Mid Ulster, aged 16 to 64, number and percentage, 2016 to 2023</t>
  </si>
  <si>
    <t>Table 2.2k: Level 2 and above and Level 3 and above qualifications of females, Mid Ulster, aged 16 to 64, number and percentage, 2016 to 2023</t>
  </si>
  <si>
    <t>Table 3.1k: Level 2 and above and Level 3 and above qualifications, Mid Ulster, aged 16 to 24, number and percentage, 2016 to 2023</t>
  </si>
  <si>
    <t>Table 3.2k: Level 2 and above and Level 3 and above qualifications, Mid Ulster, aged 25 to 34, number and percentage, 2016 to 2023</t>
  </si>
  <si>
    <t>Table 3.3k: Level 2 and above and Level 3 and above qualifications, Mid Ulster, aged 35 to 49, number and percentage, 2016 to 2023</t>
  </si>
  <si>
    <t>Table 3.4k: Level 2 and above and Level 3 and above qualifications, Mid Ulster, aged 50 to 64, number and percentage, 2016 to 2023</t>
  </si>
  <si>
    <t>Table 4.1k: Level 2 and above and Level 3 and above qualifications of persons with a disability, Mid Ulster, aged 16 to 64, number and percentage, 2016 to 2023</t>
  </si>
  <si>
    <t>Table 4.2k: Level 2 and above and Level 3 and above qualifications of persons without a disability, Mid Ulster, aged 16 to 64, number and percentage, 2016 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</si>
</sst>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u/>
      <sz val="12"/>
      <color theme="10"/>
      <name val="Arial"/>
    </font>
    <font>
      <b/>
      <sz val="15"/>
      <color rgb="FF000000"/>
      <name val="Arial"/>
    </font>
    <font>
      <b/>
      <sz val="12"/>
      <color rgb="FF000000"/>
      <name val="Arial"/>
    </font>
  </fonts>
  <fills count="3">
    <fill>
      <patternFill patternType="none"/>
    </fill>
    <fill>
      <patternFill patternType="gray125"/>
    </fill>
    <fill>
      <patternFill patternType="solid">
        <fgColor rgb="FFD3D3D3"/>
      </patternFill>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3" fillId="0" borderId="0" xfId="0" applyFont="1" applyAlignment="1">
      <alignment horizontal="left" wrapText="1"/>
    </xf>
    <xf numFmtId="0" fontId="3" fillId="0" borderId="0" xfId="0" applyFont="1" applyAlignment="1">
      <alignment horizontal="right" wrapText="1"/>
    </xf>
    <xf numFmtId="3" fontId="0" fillId="0" borderId="0" xfId="0" applyNumberFormat="1" applyAlignment="1">
      <alignment horizontal="right"/>
    </xf>
    <xf numFmtId="164" fontId="0" fillId="0" borderId="0" xfId="0" applyNumberFormat="1" applyAlignment="1">
      <alignment horizontal="right"/>
    </xf>
    <xf numFmtId="0" fontId="0" fillId="0" borderId="0" xfId="0" applyAlignment="1">
      <alignment horizontal="left"/>
    </xf>
    <xf numFmtId="3" fontId="0" fillId="2" borderId="0" xfId="0" applyNumberFormat="1" applyFill="1" applyAlignment="1">
      <alignment horizontal="right"/>
    </xf>
    <xf numFmtId="164" fontId="0" fillId="2" borderId="0" xfId="0" applyNumberFormat="1" applyFill="1" applyAlignment="1">
      <alignment horizontal="right"/>
    </xf>
    <xf numFmtId="0" fontId="0" fillId="0" borderId="0" xfId="0" applyAlignment="1">
      <alignment vertical="top"/>
    </xf>
  </cellXfs>
  <cellStyles count="1">
    <cellStyle name="Normal" xfId="0" builtinId="0"/>
  </cellStyles>
  <dxfs count="1">
    <dxf>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oc" displayName="toc" ref="A2:C113" totalsRowShown="0">
  <tableColumns count="3">
    <tableColumn id="1" xr3:uid="{00000000-0010-0000-0000-000001000000}" name="Worksheet name"/>
    <tableColumn id="2" xr3:uid="{00000000-0010-0000-0000-000002000000}" name="Table no."/>
    <tableColumn id="3" xr3:uid="{00000000-0010-0000-0000-000003000000}" name="Table name"/>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ni_1h" displayName="ni_1h" ref="A84:F92" totalsRowShown="0">
  <tableColumns count="6">
    <tableColumn id="1" xr3:uid="{00000000-0010-0000-0900-000001000000}" name="Year"/>
    <tableColumn id="2" xr3:uid="{00000000-0010-0000-0900-000002000000}" name="Level 2 and above (number)"/>
    <tableColumn id="3" xr3:uid="{00000000-0010-0000-0900-000003000000}" name="Level 2 and above (percentage)"/>
    <tableColumn id="4" xr3:uid="{00000000-0010-0000-0900-000004000000}" name="Level 3 and above (number)"/>
    <tableColumn id="5" xr3:uid="{00000000-0010-0000-0900-000005000000}" name="Level 3 and above (percentage)"/>
    <tableColumn id="6" xr3:uid="{00000000-0010-0000-0900-000006000000}" name="Small Sample Size Cells"/>
  </tableColumns>
  <tableStyleInfo name="none" showFirstColumn="0" showLastColumn="0" showRowStripes="0"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3000000}" name="not_disabled_4.2b" displayName="not_disabled_4.2b" ref="A18:F26" totalsRowShown="0">
  <tableColumns count="6">
    <tableColumn id="1" xr3:uid="{00000000-0010-0000-6300-000001000000}" name="Year"/>
    <tableColumn id="2" xr3:uid="{00000000-0010-0000-6300-000002000000}" name="Level 2 and above (number)"/>
    <tableColumn id="3" xr3:uid="{00000000-0010-0000-6300-000003000000}" name="Level 2 and above (percentage)"/>
    <tableColumn id="4" xr3:uid="{00000000-0010-0000-6300-000004000000}" name="Level 3 and above (number)"/>
    <tableColumn id="5" xr3:uid="{00000000-0010-0000-6300-000005000000}" name="Level 3 and above (percentage)"/>
    <tableColumn id="6" xr3:uid="{00000000-0010-0000-6300-000006000000}" name="Small Sample Size Cells"/>
  </tableColumns>
  <tableStyleInfo name="none" showFirstColumn="0" showLastColumn="0" showRowStripes="0"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4000000}" name="not_disabled_4.2c" displayName="not_disabled_4.2c" ref="A29:F37" totalsRowShown="0">
  <tableColumns count="6">
    <tableColumn id="1" xr3:uid="{00000000-0010-0000-6400-000001000000}" name="Year"/>
    <tableColumn id="2" xr3:uid="{00000000-0010-0000-6400-000002000000}" name="Level 2 and above (number)"/>
    <tableColumn id="3" xr3:uid="{00000000-0010-0000-6400-000003000000}" name="Level 2 and above (percentage)"/>
    <tableColumn id="4" xr3:uid="{00000000-0010-0000-6400-000004000000}" name="Level 3 and above (number)"/>
    <tableColumn id="5" xr3:uid="{00000000-0010-0000-6400-000005000000}" name="Level 3 and above (percentage)"/>
    <tableColumn id="6" xr3:uid="{00000000-0010-0000-6400-000006000000}" name="Small Sample Size Cells"/>
  </tableColumns>
  <tableStyleInfo name="none" showFirstColumn="0" showLastColumn="0" showRowStripes="0"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5000000}" name="not_disabled_4.2d" displayName="not_disabled_4.2d" ref="A40:F48" totalsRowShown="0">
  <tableColumns count="6">
    <tableColumn id="1" xr3:uid="{00000000-0010-0000-6500-000001000000}" name="Year"/>
    <tableColumn id="2" xr3:uid="{00000000-0010-0000-6500-000002000000}" name="Level 2 and above (number)"/>
    <tableColumn id="3" xr3:uid="{00000000-0010-0000-6500-000003000000}" name="Level 2 and above (percentage)"/>
    <tableColumn id="4" xr3:uid="{00000000-0010-0000-6500-000004000000}" name="Level 3 and above (number)"/>
    <tableColumn id="5" xr3:uid="{00000000-0010-0000-6500-000005000000}" name="Level 3 and above (percentage)"/>
    <tableColumn id="6" xr3:uid="{00000000-0010-0000-6500-000006000000}" name="Small Sample Size Cells"/>
  </tableColumns>
  <tableStyleInfo name="none" showFirstColumn="0" showLastColumn="0" showRowStripes="0"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6000000}" name="not_disabled_4.2e" displayName="not_disabled_4.2e" ref="A51:F59" totalsRowShown="0">
  <tableColumns count="6">
    <tableColumn id="1" xr3:uid="{00000000-0010-0000-6600-000001000000}" name="Year"/>
    <tableColumn id="2" xr3:uid="{00000000-0010-0000-6600-000002000000}" name="Level 2 and above (number)"/>
    <tableColumn id="3" xr3:uid="{00000000-0010-0000-6600-000003000000}" name="Level 2 and above (percentage)"/>
    <tableColumn id="4" xr3:uid="{00000000-0010-0000-6600-000004000000}" name="Level 3 and above (number)"/>
    <tableColumn id="5" xr3:uid="{00000000-0010-0000-6600-000005000000}" name="Level 3 and above (percentage)"/>
    <tableColumn id="6" xr3:uid="{00000000-0010-0000-6600-000006000000}" name="Small Sample Size Cells"/>
  </tableColumns>
  <tableStyleInfo name="none" showFirstColumn="0" showLastColumn="0" showRowStripes="0"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7000000}" name="not_disabled_4.2f" displayName="not_disabled_4.2f" ref="A62:F70" totalsRowShown="0">
  <tableColumns count="6">
    <tableColumn id="1" xr3:uid="{00000000-0010-0000-6700-000001000000}" name="Year"/>
    <tableColumn id="2" xr3:uid="{00000000-0010-0000-6700-000002000000}" name="Level 2 and above (number)"/>
    <tableColumn id="3" xr3:uid="{00000000-0010-0000-6700-000003000000}" name="Level 2 and above (percentage)"/>
    <tableColumn id="4" xr3:uid="{00000000-0010-0000-6700-000004000000}" name="Level 3 and above (number)"/>
    <tableColumn id="5" xr3:uid="{00000000-0010-0000-6700-000005000000}" name="Level 3 and above (percentage)"/>
    <tableColumn id="6" xr3:uid="{00000000-0010-0000-6700-000006000000}" name="Small Sample Size Cells"/>
  </tableColumns>
  <tableStyleInfo name="none" showFirstColumn="0" showLastColumn="0" showRowStripes="0"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68000000}" name="not_disabled_4.2g" displayName="not_disabled_4.2g" ref="A73:F81" totalsRowShown="0">
  <tableColumns count="6">
    <tableColumn id="1" xr3:uid="{00000000-0010-0000-6800-000001000000}" name="Year"/>
    <tableColumn id="2" xr3:uid="{00000000-0010-0000-6800-000002000000}" name="Level 2 and above (number)"/>
    <tableColumn id="3" xr3:uid="{00000000-0010-0000-6800-000003000000}" name="Level 2 and above (percentage)"/>
    <tableColumn id="4" xr3:uid="{00000000-0010-0000-6800-000004000000}" name="Level 3 and above (number)"/>
    <tableColumn id="5" xr3:uid="{00000000-0010-0000-6800-000005000000}" name="Level 3 and above (percentage)"/>
    <tableColumn id="6" xr3:uid="{00000000-0010-0000-6800-000006000000}" name="Small Sample Size Cells"/>
  </tableColumns>
  <tableStyleInfo name="none" showFirstColumn="0" showLastColumn="0" showRowStripes="0"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69000000}" name="not_disabled_4.2h" displayName="not_disabled_4.2h" ref="A84:F92" totalsRowShown="0">
  <tableColumns count="6">
    <tableColumn id="1" xr3:uid="{00000000-0010-0000-6900-000001000000}" name="Year"/>
    <tableColumn id="2" xr3:uid="{00000000-0010-0000-6900-000002000000}" name="Level 2 and above (number)"/>
    <tableColumn id="3" xr3:uid="{00000000-0010-0000-6900-000003000000}" name="Level 2 and above (percentage)"/>
    <tableColumn id="4" xr3:uid="{00000000-0010-0000-6900-000004000000}" name="Level 3 and above (number)"/>
    <tableColumn id="5" xr3:uid="{00000000-0010-0000-6900-000005000000}" name="Level 3 and above (percentage)"/>
    <tableColumn id="6" xr3:uid="{00000000-0010-0000-6900-000006000000}" name="Small Sample Size Cells"/>
  </tableColumns>
  <tableStyleInfo name="none" showFirstColumn="0" showLastColumn="0" showRowStripes="0"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6A000000}" name="not_disabled_4.2i" displayName="not_disabled_4.2i" ref="A95:F103" totalsRowShown="0">
  <tableColumns count="6">
    <tableColumn id="1" xr3:uid="{00000000-0010-0000-6A00-000001000000}" name="Year"/>
    <tableColumn id="2" xr3:uid="{00000000-0010-0000-6A00-000002000000}" name="Level 2 and above (number)"/>
    <tableColumn id="3" xr3:uid="{00000000-0010-0000-6A00-000003000000}" name="Level 2 and above (percentage)"/>
    <tableColumn id="4" xr3:uid="{00000000-0010-0000-6A00-000004000000}" name="Level 3 and above (number)"/>
    <tableColumn id="5" xr3:uid="{00000000-0010-0000-6A00-000005000000}" name="Level 3 and above (percentage)"/>
    <tableColumn id="6" xr3:uid="{00000000-0010-0000-6A00-000006000000}" name="Small Sample Size Cells"/>
  </tableColumns>
  <tableStyleInfo name="none" showFirstColumn="0" showLastColumn="0" showRowStripes="0"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6B000000}" name="not_disabled_4.2j" displayName="not_disabled_4.2j" ref="A106:F114" totalsRowShown="0">
  <tableColumns count="6">
    <tableColumn id="1" xr3:uid="{00000000-0010-0000-6B00-000001000000}" name="Year"/>
    <tableColumn id="2" xr3:uid="{00000000-0010-0000-6B00-000002000000}" name="Level 2 and above (number)"/>
    <tableColumn id="3" xr3:uid="{00000000-0010-0000-6B00-000003000000}" name="Level 2 and above (percentage)"/>
    <tableColumn id="4" xr3:uid="{00000000-0010-0000-6B00-000004000000}" name="Level 3 and above (number)"/>
    <tableColumn id="5" xr3:uid="{00000000-0010-0000-6B00-000005000000}" name="Level 3 and above (percentage)"/>
    <tableColumn id="6" xr3:uid="{00000000-0010-0000-6B00-000006000000}" name="Small Sample Size Cells"/>
  </tableColumns>
  <tableStyleInfo name="none" showFirstColumn="0" showLastColumn="0" showRowStripes="0"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6C000000}" name="not_disabled_4.2k" displayName="not_disabled_4.2k" ref="A117:F125" totalsRowShown="0">
  <tableColumns count="6">
    <tableColumn id="1" xr3:uid="{00000000-0010-0000-6C00-000001000000}" name="Year"/>
    <tableColumn id="2" xr3:uid="{00000000-0010-0000-6C00-000002000000}" name="Level 2 and above (number)"/>
    <tableColumn id="3" xr3:uid="{00000000-0010-0000-6C00-000003000000}" name="Level 2 and above (percentage)"/>
    <tableColumn id="4" xr3:uid="{00000000-0010-0000-6C00-000004000000}" name="Level 3 and above (number)"/>
    <tableColumn id="5" xr3:uid="{00000000-0010-0000-6C00-000005000000}" name="Level 3 and above (percentage)"/>
    <tableColumn id="6" xr3:uid="{00000000-0010-0000-6C00-000006000000}" name="Small Sample Size Cells"/>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ni_1i" displayName="ni_1i" ref="A95:F103" totalsRowShown="0">
  <tableColumns count="6">
    <tableColumn id="1" xr3:uid="{00000000-0010-0000-0A00-000001000000}" name="Year"/>
    <tableColumn id="2" xr3:uid="{00000000-0010-0000-0A00-000002000000}" name="Level 2 and above (number)"/>
    <tableColumn id="3" xr3:uid="{00000000-0010-0000-0A00-000003000000}" name="Level 2 and above (percentage)"/>
    <tableColumn id="4" xr3:uid="{00000000-0010-0000-0A00-000004000000}" name="Level 3 and above (number)"/>
    <tableColumn id="5" xr3:uid="{00000000-0010-0000-0A00-000005000000}" name="Level 3 and above (percentage)"/>
    <tableColumn id="6" xr3:uid="{00000000-0010-0000-0A00-000006000000}" name="Small Sample Size Cells"/>
  </tableColumns>
  <tableStyleInfo name="none" showFirstColumn="0" showLastColumn="0" showRowStripes="0"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6D000000}" name="not_disabled_4.2l" displayName="not_disabled_4.2l" ref="A128:F136" totalsRowShown="0">
  <tableColumns count="6">
    <tableColumn id="1" xr3:uid="{00000000-0010-0000-6D00-000001000000}" name="Year"/>
    <tableColumn id="2" xr3:uid="{00000000-0010-0000-6D00-000002000000}" name="Level 2 and above (number)"/>
    <tableColumn id="3" xr3:uid="{00000000-0010-0000-6D00-000003000000}" name="Level 2 and above (percentage)"/>
    <tableColumn id="4" xr3:uid="{00000000-0010-0000-6D00-000004000000}" name="Level 3 and above (number)"/>
    <tableColumn id="5" xr3:uid="{00000000-0010-0000-6D00-000005000000}" name="Level 3 and above (percentage)"/>
    <tableColumn id="6" xr3:uid="{00000000-0010-0000-6D00-000006000000}" name="Small Sample Size Cells"/>
  </tableColumns>
  <tableStyleInfo name="none" showFirstColumn="0" showLastColumn="0" showRowStripes="0"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6E000000}" name="deprivation_5.1a" displayName="deprivation_5.1a" ref="A7:F15" totalsRowShown="0">
  <tableColumns count="6">
    <tableColumn id="1" xr3:uid="{00000000-0010-0000-6E00-000001000000}" name="Year"/>
    <tableColumn id="2" xr3:uid="{00000000-0010-0000-6E00-000002000000}" name="Level 2 and above (number)"/>
    <tableColumn id="3" xr3:uid="{00000000-0010-0000-6E00-000003000000}" name="Level 2 and above (percentage)"/>
    <tableColumn id="4" xr3:uid="{00000000-0010-0000-6E00-000004000000}" name="Level 3 and above (number)"/>
    <tableColumn id="5" xr3:uid="{00000000-0010-0000-6E00-000005000000}" name="Level 3 and above (percentage)"/>
    <tableColumn id="6" xr3:uid="{00000000-0010-0000-6E00-000006000000}" name="Small Sample Size Cells"/>
  </tableColumns>
  <tableStyleInfo name="none" showFirstColumn="0" showLastColumn="0" showRowStripes="0"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6F000000}" name="deprivation_5.1b" displayName="deprivation_5.1b" ref="A18:F26" totalsRowShown="0">
  <tableColumns count="6">
    <tableColumn id="1" xr3:uid="{00000000-0010-0000-6F00-000001000000}" name="Year"/>
    <tableColumn id="2" xr3:uid="{00000000-0010-0000-6F00-000002000000}" name="Level 2 and above (number)"/>
    <tableColumn id="3" xr3:uid="{00000000-0010-0000-6F00-000003000000}" name="Level 2 and above (percentage)"/>
    <tableColumn id="4" xr3:uid="{00000000-0010-0000-6F00-000004000000}" name="Level 3 and above (number)"/>
    <tableColumn id="5" xr3:uid="{00000000-0010-0000-6F00-000005000000}" name="Level 3 and above (percentage)"/>
    <tableColumn id="6" xr3:uid="{00000000-0010-0000-6F00-000006000000}" name="Small Sample Size Cells"/>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ni_1j" displayName="ni_1j" ref="A106:F114" totalsRowShown="0">
  <tableColumns count="6">
    <tableColumn id="1" xr3:uid="{00000000-0010-0000-0B00-000001000000}" name="Year"/>
    <tableColumn id="2" xr3:uid="{00000000-0010-0000-0B00-000002000000}" name="Level 2 and above (number)"/>
    <tableColumn id="3" xr3:uid="{00000000-0010-0000-0B00-000003000000}" name="Level 2 and above (percentage)"/>
    <tableColumn id="4" xr3:uid="{00000000-0010-0000-0B00-000004000000}" name="Level 3 and above (number)"/>
    <tableColumn id="5" xr3:uid="{00000000-0010-0000-0B00-000005000000}" name="Level 3 and above (percentage)"/>
    <tableColumn id="6" xr3:uid="{00000000-0010-0000-0B00-000006000000}" name="Small Sample Size Cell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i_1k" displayName="ni_1k" ref="A117:F125" totalsRowShown="0">
  <tableColumns count="6">
    <tableColumn id="1" xr3:uid="{00000000-0010-0000-0C00-000001000000}" name="Year"/>
    <tableColumn id="2" xr3:uid="{00000000-0010-0000-0C00-000002000000}" name="Level 2 and above (number)"/>
    <tableColumn id="3" xr3:uid="{00000000-0010-0000-0C00-000003000000}" name="Level 2 and above (percentage)"/>
    <tableColumn id="4" xr3:uid="{00000000-0010-0000-0C00-000004000000}" name="Level 3 and above (number)"/>
    <tableColumn id="5" xr3:uid="{00000000-0010-0000-0C00-000005000000}" name="Level 3 and above (percentage)"/>
    <tableColumn id="6" xr3:uid="{00000000-0010-0000-0C00-000006000000}" name="Small Sample Size Cells"/>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ni_1l" displayName="ni_1l" ref="A128:F136" totalsRowShown="0">
  <tableColumns count="6">
    <tableColumn id="1" xr3:uid="{00000000-0010-0000-0D00-000001000000}" name="Year"/>
    <tableColumn id="2" xr3:uid="{00000000-0010-0000-0D00-000002000000}" name="Level 2 and above (number)"/>
    <tableColumn id="3" xr3:uid="{00000000-0010-0000-0D00-000003000000}" name="Level 2 and above (percentage)"/>
    <tableColumn id="4" xr3:uid="{00000000-0010-0000-0D00-000004000000}" name="Level 3 and above (number)"/>
    <tableColumn id="5" xr3:uid="{00000000-0010-0000-0D00-000005000000}" name="Level 3 and above (percentage)"/>
    <tableColumn id="6" xr3:uid="{00000000-0010-0000-0D00-000006000000}" name="Small Sample Size Cells"/>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male_2.1a" displayName="male_2.1a" ref="A7:F15" totalsRowShown="0">
  <tableColumns count="6">
    <tableColumn id="1" xr3:uid="{00000000-0010-0000-0E00-000001000000}" name="Year"/>
    <tableColumn id="2" xr3:uid="{00000000-0010-0000-0E00-000002000000}" name="Level 2 and above (number)"/>
    <tableColumn id="3" xr3:uid="{00000000-0010-0000-0E00-000003000000}" name="Level 2 and above (percentage)"/>
    <tableColumn id="4" xr3:uid="{00000000-0010-0000-0E00-000004000000}" name="Level 3 and above (number)"/>
    <tableColumn id="5" xr3:uid="{00000000-0010-0000-0E00-000005000000}" name="Level 3 and above (percentage)"/>
    <tableColumn id="6" xr3:uid="{00000000-0010-0000-0E00-000006000000}" name="Small Sample Size Cells"/>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ale_2.1b" displayName="male_2.1b" ref="A18:F26" totalsRowShown="0">
  <tableColumns count="6">
    <tableColumn id="1" xr3:uid="{00000000-0010-0000-0F00-000001000000}" name="Year"/>
    <tableColumn id="2" xr3:uid="{00000000-0010-0000-0F00-000002000000}" name="Level 2 and above (number)"/>
    <tableColumn id="3" xr3:uid="{00000000-0010-0000-0F00-000003000000}" name="Level 2 and above (percentage)"/>
    <tableColumn id="4" xr3:uid="{00000000-0010-0000-0F00-000004000000}" name="Level 3 and above (number)"/>
    <tableColumn id="5" xr3:uid="{00000000-0010-0000-0F00-000005000000}" name="Level 3 and above (percentage)"/>
    <tableColumn id="6" xr3:uid="{00000000-0010-0000-0F00-000006000000}" name="Small Sample Size Cells"/>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male_2.1c" displayName="male_2.1c" ref="A29:F37" totalsRowShown="0">
  <tableColumns count="6">
    <tableColumn id="1" xr3:uid="{00000000-0010-0000-1000-000001000000}" name="Year"/>
    <tableColumn id="2" xr3:uid="{00000000-0010-0000-1000-000002000000}" name="Level 2 and above (number)"/>
    <tableColumn id="3" xr3:uid="{00000000-0010-0000-1000-000003000000}" name="Level 2 and above (percentage)"/>
    <tableColumn id="4" xr3:uid="{00000000-0010-0000-1000-000004000000}" name="Level 3 and above (number)"/>
    <tableColumn id="5" xr3:uid="{00000000-0010-0000-1000-000005000000}" name="Level 3 and above (percentage)"/>
    <tableColumn id="6" xr3:uid="{00000000-0010-0000-1000-000006000000}" name="Small Sample Size Cells"/>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male_2.1d" displayName="male_2.1d" ref="A40:F48" totalsRowShown="0">
  <tableColumns count="6">
    <tableColumn id="1" xr3:uid="{00000000-0010-0000-1100-000001000000}" name="Year"/>
    <tableColumn id="2" xr3:uid="{00000000-0010-0000-1100-000002000000}" name="Level 2 and above (number)"/>
    <tableColumn id="3" xr3:uid="{00000000-0010-0000-1100-000003000000}" name="Level 2 and above (percentage)"/>
    <tableColumn id="4" xr3:uid="{00000000-0010-0000-1100-000004000000}" name="Level 3 and above (number)"/>
    <tableColumn id="5" xr3:uid="{00000000-0010-0000-1100-000005000000}" name="Level 3 and above (percentage)"/>
    <tableColumn id="6" xr3:uid="{00000000-0010-0000-1100-000006000000}" name="Small Sample Size Cells"/>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male_2.1e" displayName="male_2.1e" ref="A51:F59" totalsRowShown="0">
  <tableColumns count="6">
    <tableColumn id="1" xr3:uid="{00000000-0010-0000-1200-000001000000}" name="Year"/>
    <tableColumn id="2" xr3:uid="{00000000-0010-0000-1200-000002000000}" name="Level 2 and above (number)"/>
    <tableColumn id="3" xr3:uid="{00000000-0010-0000-1200-000003000000}" name="Level 2 and above (percentage)"/>
    <tableColumn id="4" xr3:uid="{00000000-0010-0000-1200-000004000000}" name="Level 3 and above (number)"/>
    <tableColumn id="5" xr3:uid="{00000000-0010-0000-1200-000005000000}" name="Level 3 and above (percentage)"/>
    <tableColumn id="6" xr3:uid="{00000000-0010-0000-1200-000006000000}" name="Small Sample Size Cells"/>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otes" displayName="notes" ref="A2:B5" totalsRowShown="0">
  <tableColumns count="2">
    <tableColumn id="1" xr3:uid="{00000000-0010-0000-0100-000001000000}" name="Note reference" dataDxfId="0"/>
    <tableColumn id="2" xr3:uid="{00000000-0010-0000-0100-000002000000}" name="Note or definition"/>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male_2.1f" displayName="male_2.1f" ref="A62:F70" totalsRowShown="0">
  <tableColumns count="6">
    <tableColumn id="1" xr3:uid="{00000000-0010-0000-1300-000001000000}" name="Year"/>
    <tableColumn id="2" xr3:uid="{00000000-0010-0000-1300-000002000000}" name="Level 2 and above (number)"/>
    <tableColumn id="3" xr3:uid="{00000000-0010-0000-1300-000003000000}" name="Level 2 and above (percentage)"/>
    <tableColumn id="4" xr3:uid="{00000000-0010-0000-1300-000004000000}" name="Level 3 and above (number)"/>
    <tableColumn id="5" xr3:uid="{00000000-0010-0000-1300-000005000000}" name="Level 3 and above (percentage)"/>
    <tableColumn id="6" xr3:uid="{00000000-0010-0000-1300-000006000000}" name="Small Sample Size Cells"/>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male_2.1g" displayName="male_2.1g" ref="A73:F81" totalsRowShown="0">
  <tableColumns count="6">
    <tableColumn id="1" xr3:uid="{00000000-0010-0000-1400-000001000000}" name="Year"/>
    <tableColumn id="2" xr3:uid="{00000000-0010-0000-1400-000002000000}" name="Level 2 and above (number)"/>
    <tableColumn id="3" xr3:uid="{00000000-0010-0000-1400-000003000000}" name="Level 2 and above (percentage)"/>
    <tableColumn id="4" xr3:uid="{00000000-0010-0000-1400-000004000000}" name="Level 3 and above (number)"/>
    <tableColumn id="5" xr3:uid="{00000000-0010-0000-1400-000005000000}" name="Level 3 and above (percentage)"/>
    <tableColumn id="6" xr3:uid="{00000000-0010-0000-1400-000006000000}" name="Small Sample Size Cells"/>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male_2.1h" displayName="male_2.1h" ref="A84:F92" totalsRowShown="0">
  <tableColumns count="6">
    <tableColumn id="1" xr3:uid="{00000000-0010-0000-1500-000001000000}" name="Year"/>
    <tableColumn id="2" xr3:uid="{00000000-0010-0000-1500-000002000000}" name="Level 2 and above (number)"/>
    <tableColumn id="3" xr3:uid="{00000000-0010-0000-1500-000003000000}" name="Level 2 and above (percentage)"/>
    <tableColumn id="4" xr3:uid="{00000000-0010-0000-1500-000004000000}" name="Level 3 and above (number)"/>
    <tableColumn id="5" xr3:uid="{00000000-0010-0000-1500-000005000000}" name="Level 3 and above (percentage)"/>
    <tableColumn id="6" xr3:uid="{00000000-0010-0000-1500-000006000000}" name="Small Sample Size Cells"/>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male_2.1i" displayName="male_2.1i" ref="A95:F103" totalsRowShown="0">
  <tableColumns count="6">
    <tableColumn id="1" xr3:uid="{00000000-0010-0000-1600-000001000000}" name="Year"/>
    <tableColumn id="2" xr3:uid="{00000000-0010-0000-1600-000002000000}" name="Level 2 and above (number)"/>
    <tableColumn id="3" xr3:uid="{00000000-0010-0000-1600-000003000000}" name="Level 2 and above (percentage)"/>
    <tableColumn id="4" xr3:uid="{00000000-0010-0000-1600-000004000000}" name="Level 3 and above (number)"/>
    <tableColumn id="5" xr3:uid="{00000000-0010-0000-1600-000005000000}" name="Level 3 and above (percentage)"/>
    <tableColumn id="6" xr3:uid="{00000000-0010-0000-1600-000006000000}" name="Small Sample Size Cells"/>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male_2.1j" displayName="male_2.1j" ref="A106:F114" totalsRowShown="0">
  <tableColumns count="6">
    <tableColumn id="1" xr3:uid="{00000000-0010-0000-1700-000001000000}" name="Year"/>
    <tableColumn id="2" xr3:uid="{00000000-0010-0000-1700-000002000000}" name="Level 2 and above (number)"/>
    <tableColumn id="3" xr3:uid="{00000000-0010-0000-1700-000003000000}" name="Level 2 and above (percentage)"/>
    <tableColumn id="4" xr3:uid="{00000000-0010-0000-1700-000004000000}" name="Level 3 and above (number)"/>
    <tableColumn id="5" xr3:uid="{00000000-0010-0000-1700-000005000000}" name="Level 3 and above (percentage)"/>
    <tableColumn id="6" xr3:uid="{00000000-0010-0000-1700-000006000000}" name="Small Sample Size Cells"/>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male_2.1k" displayName="male_2.1k" ref="A117:F125" totalsRowShown="0">
  <tableColumns count="6">
    <tableColumn id="1" xr3:uid="{00000000-0010-0000-1800-000001000000}" name="Year"/>
    <tableColumn id="2" xr3:uid="{00000000-0010-0000-1800-000002000000}" name="Level 2 and above (number)"/>
    <tableColumn id="3" xr3:uid="{00000000-0010-0000-1800-000003000000}" name="Level 2 and above (percentage)"/>
    <tableColumn id="4" xr3:uid="{00000000-0010-0000-1800-000004000000}" name="Level 3 and above (number)"/>
    <tableColumn id="5" xr3:uid="{00000000-0010-0000-1800-000005000000}" name="Level 3 and above (percentage)"/>
    <tableColumn id="6" xr3:uid="{00000000-0010-0000-1800-000006000000}" name="Small Sample Size Cells"/>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male_2.1l" displayName="male_2.1l" ref="A128:F136" totalsRowShown="0">
  <tableColumns count="6">
    <tableColumn id="1" xr3:uid="{00000000-0010-0000-1900-000001000000}" name="Year"/>
    <tableColumn id="2" xr3:uid="{00000000-0010-0000-1900-000002000000}" name="Level 2 and above (number)"/>
    <tableColumn id="3" xr3:uid="{00000000-0010-0000-1900-000003000000}" name="Level 2 and above (percentage)"/>
    <tableColumn id="4" xr3:uid="{00000000-0010-0000-1900-000004000000}" name="Level 3 and above (number)"/>
    <tableColumn id="5" xr3:uid="{00000000-0010-0000-1900-000005000000}" name="Level 3 and above (percentage)"/>
    <tableColumn id="6" xr3:uid="{00000000-0010-0000-1900-000006000000}" name="Small Sample Size Cells"/>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female_2.2a" displayName="female_2.2a" ref="A7:F15" totalsRowShown="0">
  <tableColumns count="6">
    <tableColumn id="1" xr3:uid="{00000000-0010-0000-1A00-000001000000}" name="Year"/>
    <tableColumn id="2" xr3:uid="{00000000-0010-0000-1A00-000002000000}" name="Level 2 and above (number)"/>
    <tableColumn id="3" xr3:uid="{00000000-0010-0000-1A00-000003000000}" name="Level 2 and above (percentage)"/>
    <tableColumn id="4" xr3:uid="{00000000-0010-0000-1A00-000004000000}" name="Level 3 and above (number)"/>
    <tableColumn id="5" xr3:uid="{00000000-0010-0000-1A00-000005000000}" name="Level 3 and above (percentage)"/>
    <tableColumn id="6" xr3:uid="{00000000-0010-0000-1A00-000006000000}" name="Small Sample Size Cells"/>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female_2.2b" displayName="female_2.2b" ref="A18:F26" totalsRowShown="0">
  <tableColumns count="6">
    <tableColumn id="1" xr3:uid="{00000000-0010-0000-1B00-000001000000}" name="Year"/>
    <tableColumn id="2" xr3:uid="{00000000-0010-0000-1B00-000002000000}" name="Level 2 and above (number)"/>
    <tableColumn id="3" xr3:uid="{00000000-0010-0000-1B00-000003000000}" name="Level 2 and above (percentage)"/>
    <tableColumn id="4" xr3:uid="{00000000-0010-0000-1B00-000004000000}" name="Level 3 and above (number)"/>
    <tableColumn id="5" xr3:uid="{00000000-0010-0000-1B00-000005000000}" name="Level 3 and above (percentage)"/>
    <tableColumn id="6" xr3:uid="{00000000-0010-0000-1B00-000006000000}" name="Small Sample Size Cells"/>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female_2.2c" displayName="female_2.2c" ref="A29:F37" totalsRowShown="0">
  <tableColumns count="6">
    <tableColumn id="1" xr3:uid="{00000000-0010-0000-1C00-000001000000}" name="Year"/>
    <tableColumn id="2" xr3:uid="{00000000-0010-0000-1C00-000002000000}" name="Level 2 and above (number)"/>
    <tableColumn id="3" xr3:uid="{00000000-0010-0000-1C00-000003000000}" name="Level 2 and above (percentage)"/>
    <tableColumn id="4" xr3:uid="{00000000-0010-0000-1C00-000004000000}" name="Level 3 and above (number)"/>
    <tableColumn id="5" xr3:uid="{00000000-0010-0000-1C00-000005000000}" name="Level 3 and above (percentage)"/>
    <tableColumn id="6" xr3:uid="{00000000-0010-0000-1C00-000006000000}" name="Small Sample Size Cells"/>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ni_1a" displayName="ni_1a" ref="A7:F15" totalsRowShown="0">
  <tableColumns count="6">
    <tableColumn id="1" xr3:uid="{00000000-0010-0000-0200-000001000000}" name="Year"/>
    <tableColumn id="2" xr3:uid="{00000000-0010-0000-0200-000002000000}" name="Level 2 and above (number)"/>
    <tableColumn id="3" xr3:uid="{00000000-0010-0000-0200-000003000000}" name="Level 2 and above (percentage)"/>
    <tableColumn id="4" xr3:uid="{00000000-0010-0000-0200-000004000000}" name="Level 3 and above (number)"/>
    <tableColumn id="5" xr3:uid="{00000000-0010-0000-0200-000005000000}" name="Level 3 and above (percentage)"/>
    <tableColumn id="6" xr3:uid="{00000000-0010-0000-0200-000006000000}" name="Small Sample Size Cells"/>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female_2.2d" displayName="female_2.2d" ref="A40:F48" totalsRowShown="0">
  <tableColumns count="6">
    <tableColumn id="1" xr3:uid="{00000000-0010-0000-1D00-000001000000}" name="Year"/>
    <tableColumn id="2" xr3:uid="{00000000-0010-0000-1D00-000002000000}" name="Level 2 and above (number)"/>
    <tableColumn id="3" xr3:uid="{00000000-0010-0000-1D00-000003000000}" name="Level 2 and above (percentage)"/>
    <tableColumn id="4" xr3:uid="{00000000-0010-0000-1D00-000004000000}" name="Level 3 and above (number)"/>
    <tableColumn id="5" xr3:uid="{00000000-0010-0000-1D00-000005000000}" name="Level 3 and above (percentage)"/>
    <tableColumn id="6" xr3:uid="{00000000-0010-0000-1D00-000006000000}" name="Small Sample Size Cells"/>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female_2.2e" displayName="female_2.2e" ref="A51:F59" totalsRowShown="0">
  <tableColumns count="6">
    <tableColumn id="1" xr3:uid="{00000000-0010-0000-1E00-000001000000}" name="Year"/>
    <tableColumn id="2" xr3:uid="{00000000-0010-0000-1E00-000002000000}" name="Level 2 and above (number)"/>
    <tableColumn id="3" xr3:uid="{00000000-0010-0000-1E00-000003000000}" name="Level 2 and above (percentage)"/>
    <tableColumn id="4" xr3:uid="{00000000-0010-0000-1E00-000004000000}" name="Level 3 and above (number)"/>
    <tableColumn id="5" xr3:uid="{00000000-0010-0000-1E00-000005000000}" name="Level 3 and above (percentage)"/>
    <tableColumn id="6" xr3:uid="{00000000-0010-0000-1E00-000006000000}" name="Small Sample Size Cells"/>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female_2.2f" displayName="female_2.2f" ref="A62:F70" totalsRowShown="0">
  <tableColumns count="6">
    <tableColumn id="1" xr3:uid="{00000000-0010-0000-1F00-000001000000}" name="Year"/>
    <tableColumn id="2" xr3:uid="{00000000-0010-0000-1F00-000002000000}" name="Level 2 and above (number)"/>
    <tableColumn id="3" xr3:uid="{00000000-0010-0000-1F00-000003000000}" name="Level 2 and above (percentage)"/>
    <tableColumn id="4" xr3:uid="{00000000-0010-0000-1F00-000004000000}" name="Level 3 and above (number)"/>
    <tableColumn id="5" xr3:uid="{00000000-0010-0000-1F00-000005000000}" name="Level 3 and above (percentage)"/>
    <tableColumn id="6" xr3:uid="{00000000-0010-0000-1F00-000006000000}" name="Small Sample Size Cells"/>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female_2.2g" displayName="female_2.2g" ref="A73:F81" totalsRowShown="0">
  <tableColumns count="6">
    <tableColumn id="1" xr3:uid="{00000000-0010-0000-2000-000001000000}" name="Year"/>
    <tableColumn id="2" xr3:uid="{00000000-0010-0000-2000-000002000000}" name="Level 2 and above (number)"/>
    <tableColumn id="3" xr3:uid="{00000000-0010-0000-2000-000003000000}" name="Level 2 and above (percentage)"/>
    <tableColumn id="4" xr3:uid="{00000000-0010-0000-2000-000004000000}" name="Level 3 and above (number)"/>
    <tableColumn id="5" xr3:uid="{00000000-0010-0000-2000-000005000000}" name="Level 3 and above (percentage)"/>
    <tableColumn id="6" xr3:uid="{00000000-0010-0000-2000-000006000000}" name="Small Sample Size Cells"/>
  </tableColumns>
  <tableStyleInfo name="none" showFirstColumn="0" showLastColumn="0"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female_2.2h" displayName="female_2.2h" ref="A84:F92" totalsRowShown="0">
  <tableColumns count="6">
    <tableColumn id="1" xr3:uid="{00000000-0010-0000-2100-000001000000}" name="Year"/>
    <tableColumn id="2" xr3:uid="{00000000-0010-0000-2100-000002000000}" name="Level 2 and above (number)"/>
    <tableColumn id="3" xr3:uid="{00000000-0010-0000-2100-000003000000}" name="Level 2 and above (percentage)"/>
    <tableColumn id="4" xr3:uid="{00000000-0010-0000-2100-000004000000}" name="Level 3 and above (number)"/>
    <tableColumn id="5" xr3:uid="{00000000-0010-0000-2100-000005000000}" name="Level 3 and above (percentage)"/>
    <tableColumn id="6" xr3:uid="{00000000-0010-0000-2100-000006000000}" name="Small Sample Size Cells"/>
  </tableColumns>
  <tableStyleInfo name="none" showFirstColumn="0" showLastColumn="0" showRowStripes="0"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2000000}" name="female_2.2i" displayName="female_2.2i" ref="A95:F103" totalsRowShown="0">
  <tableColumns count="6">
    <tableColumn id="1" xr3:uid="{00000000-0010-0000-2200-000001000000}" name="Year"/>
    <tableColumn id="2" xr3:uid="{00000000-0010-0000-2200-000002000000}" name="Level 2 and above (number)"/>
    <tableColumn id="3" xr3:uid="{00000000-0010-0000-2200-000003000000}" name="Level 2 and above (percentage)"/>
    <tableColumn id="4" xr3:uid="{00000000-0010-0000-2200-000004000000}" name="Level 3 and above (number)"/>
    <tableColumn id="5" xr3:uid="{00000000-0010-0000-2200-000005000000}" name="Level 3 and above (percentage)"/>
    <tableColumn id="6" xr3:uid="{00000000-0010-0000-2200-000006000000}" name="Small Sample Size Cells"/>
  </tableColumns>
  <tableStyleInfo name="none" showFirstColumn="0" showLastColumn="0"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3000000}" name="female_2.2j" displayName="female_2.2j" ref="A106:F114" totalsRowShown="0">
  <tableColumns count="6">
    <tableColumn id="1" xr3:uid="{00000000-0010-0000-2300-000001000000}" name="Year"/>
    <tableColumn id="2" xr3:uid="{00000000-0010-0000-2300-000002000000}" name="Level 2 and above (number)"/>
    <tableColumn id="3" xr3:uid="{00000000-0010-0000-2300-000003000000}" name="Level 2 and above (percentage)"/>
    <tableColumn id="4" xr3:uid="{00000000-0010-0000-2300-000004000000}" name="Level 3 and above (number)"/>
    <tableColumn id="5" xr3:uid="{00000000-0010-0000-2300-000005000000}" name="Level 3 and above (percentage)"/>
    <tableColumn id="6" xr3:uid="{00000000-0010-0000-2300-000006000000}" name="Small Sample Size Cells"/>
  </tableColumns>
  <tableStyleInfo name="none" showFirstColumn="0" showLastColumn="0" showRowStripes="0"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4000000}" name="female_2.2k" displayName="female_2.2k" ref="A117:F125" totalsRowShown="0">
  <tableColumns count="6">
    <tableColumn id="1" xr3:uid="{00000000-0010-0000-2400-000001000000}" name="Year"/>
    <tableColumn id="2" xr3:uid="{00000000-0010-0000-2400-000002000000}" name="Level 2 and above (number)"/>
    <tableColumn id="3" xr3:uid="{00000000-0010-0000-2400-000003000000}" name="Level 2 and above (percentage)"/>
    <tableColumn id="4" xr3:uid="{00000000-0010-0000-2400-000004000000}" name="Level 3 and above (number)"/>
    <tableColumn id="5" xr3:uid="{00000000-0010-0000-2400-000005000000}" name="Level 3 and above (percentage)"/>
    <tableColumn id="6" xr3:uid="{00000000-0010-0000-2400-000006000000}" name="Small Sample Size Cells"/>
  </tableColumns>
  <tableStyleInfo name="none" showFirstColumn="0" showLastColumn="0" showRowStripes="0"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5000000}" name="female_2.2l" displayName="female_2.2l" ref="A128:F136" totalsRowShown="0">
  <tableColumns count="6">
    <tableColumn id="1" xr3:uid="{00000000-0010-0000-2500-000001000000}" name="Year"/>
    <tableColumn id="2" xr3:uid="{00000000-0010-0000-2500-000002000000}" name="Level 2 and above (number)"/>
    <tableColumn id="3" xr3:uid="{00000000-0010-0000-2500-000003000000}" name="Level 2 and above (percentage)"/>
    <tableColumn id="4" xr3:uid="{00000000-0010-0000-2500-000004000000}" name="Level 3 and above (number)"/>
    <tableColumn id="5" xr3:uid="{00000000-0010-0000-2500-000005000000}" name="Level 3 and above (percentage)"/>
    <tableColumn id="6" xr3:uid="{00000000-0010-0000-2500-000006000000}" name="Small Sample Size Cells"/>
  </tableColumns>
  <tableStyleInfo name="none" showFirstColumn="0" showLastColumn="0" showRowStripes="0"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6000000}" name="aged_16_to_24_3.1a" displayName="aged_16_to_24_3.1a" ref="A7:F15" totalsRowShown="0">
  <tableColumns count="6">
    <tableColumn id="1" xr3:uid="{00000000-0010-0000-2600-000001000000}" name="Year"/>
    <tableColumn id="2" xr3:uid="{00000000-0010-0000-2600-000002000000}" name="Level 2 and above (number)"/>
    <tableColumn id="3" xr3:uid="{00000000-0010-0000-2600-000003000000}" name="Level 2 and above (percentage)"/>
    <tableColumn id="4" xr3:uid="{00000000-0010-0000-2600-000004000000}" name="Level 3 and above (number)"/>
    <tableColumn id="5" xr3:uid="{00000000-0010-0000-2600-000005000000}" name="Level 3 and above (percentage)"/>
    <tableColumn id="6" xr3:uid="{00000000-0010-0000-2600-000006000000}" name="Small Sample Size Cells"/>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ni_1b" displayName="ni_1b" ref="A18:F26" totalsRowShown="0">
  <tableColumns count="6">
    <tableColumn id="1" xr3:uid="{00000000-0010-0000-0300-000001000000}" name="Year"/>
    <tableColumn id="2" xr3:uid="{00000000-0010-0000-0300-000002000000}" name="Level 2 and above (number)"/>
    <tableColumn id="3" xr3:uid="{00000000-0010-0000-0300-000003000000}" name="Level 2 and above (percentage)"/>
    <tableColumn id="4" xr3:uid="{00000000-0010-0000-0300-000004000000}" name="Level 3 and above (number)"/>
    <tableColumn id="5" xr3:uid="{00000000-0010-0000-0300-000005000000}" name="Level 3 and above (percentage)"/>
    <tableColumn id="6" xr3:uid="{00000000-0010-0000-0300-000006000000}" name="Small Sample Size Cells"/>
  </tableColumns>
  <tableStyleInfo name="none" showFirstColumn="0" showLastColumn="0" showRowStripes="0"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7000000}" name="aged_16_to_24_3.1b" displayName="aged_16_to_24_3.1b" ref="A18:F26" totalsRowShown="0">
  <tableColumns count="6">
    <tableColumn id="1" xr3:uid="{00000000-0010-0000-2700-000001000000}" name="Year"/>
    <tableColumn id="2" xr3:uid="{00000000-0010-0000-2700-000002000000}" name="Level 2 and above (number)"/>
    <tableColumn id="3" xr3:uid="{00000000-0010-0000-2700-000003000000}" name="Level 2 and above (percentage)"/>
    <tableColumn id="4" xr3:uid="{00000000-0010-0000-2700-000004000000}" name="Level 3 and above (number)"/>
    <tableColumn id="5" xr3:uid="{00000000-0010-0000-2700-000005000000}" name="Level 3 and above (percentage)"/>
    <tableColumn id="6" xr3:uid="{00000000-0010-0000-2700-000006000000}" name="Small Sample Size Cells"/>
  </tableColumns>
  <tableStyleInfo name="none" showFirstColumn="0" showLastColumn="0" showRowStripes="0"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8000000}" name="aged_16_to_24_3.1c" displayName="aged_16_to_24_3.1c" ref="A29:F37" totalsRowShown="0">
  <tableColumns count="6">
    <tableColumn id="1" xr3:uid="{00000000-0010-0000-2800-000001000000}" name="Year"/>
    <tableColumn id="2" xr3:uid="{00000000-0010-0000-2800-000002000000}" name="Level 2 and above (number)"/>
    <tableColumn id="3" xr3:uid="{00000000-0010-0000-2800-000003000000}" name="Level 2 and above (percentage)"/>
    <tableColumn id="4" xr3:uid="{00000000-0010-0000-2800-000004000000}" name="Level 3 and above (number)"/>
    <tableColumn id="5" xr3:uid="{00000000-0010-0000-2800-000005000000}" name="Level 3 and above (percentage)"/>
    <tableColumn id="6" xr3:uid="{00000000-0010-0000-2800-000006000000}" name="Small Sample Size Cells"/>
  </tableColumns>
  <tableStyleInfo name="none" showFirstColumn="0" showLastColumn="0" showRowStripes="0"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9000000}" name="aged_16_to_24_3.1d" displayName="aged_16_to_24_3.1d" ref="A40:F48" totalsRowShown="0">
  <tableColumns count="6">
    <tableColumn id="1" xr3:uid="{00000000-0010-0000-2900-000001000000}" name="Year"/>
    <tableColumn id="2" xr3:uid="{00000000-0010-0000-2900-000002000000}" name="Level 2 and above (number)"/>
    <tableColumn id="3" xr3:uid="{00000000-0010-0000-2900-000003000000}" name="Level 2 and above (percentage)"/>
    <tableColumn id="4" xr3:uid="{00000000-0010-0000-2900-000004000000}" name="Level 3 and above (number)"/>
    <tableColumn id="5" xr3:uid="{00000000-0010-0000-2900-000005000000}" name="Level 3 and above (percentage)"/>
    <tableColumn id="6" xr3:uid="{00000000-0010-0000-2900-000006000000}" name="Small Sample Size Cells"/>
  </tableColumns>
  <tableStyleInfo name="none" showFirstColumn="0" showLastColumn="0" showRowStripes="0"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A000000}" name="aged_16_to_24_3.1e" displayName="aged_16_to_24_3.1e" ref="A51:F59" totalsRowShown="0">
  <tableColumns count="6">
    <tableColumn id="1" xr3:uid="{00000000-0010-0000-2A00-000001000000}" name="Year"/>
    <tableColumn id="2" xr3:uid="{00000000-0010-0000-2A00-000002000000}" name="Level 2 and above (number)"/>
    <tableColumn id="3" xr3:uid="{00000000-0010-0000-2A00-000003000000}" name="Level 2 and above (percentage)"/>
    <tableColumn id="4" xr3:uid="{00000000-0010-0000-2A00-000004000000}" name="Level 3 and above (number)"/>
    <tableColumn id="5" xr3:uid="{00000000-0010-0000-2A00-000005000000}" name="Level 3 and above (percentage)"/>
    <tableColumn id="6" xr3:uid="{00000000-0010-0000-2A00-000006000000}" name="Small Sample Size Cells"/>
  </tableColumns>
  <tableStyleInfo name="none" showFirstColumn="0" showLastColumn="0" showRowStripes="0"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B000000}" name="aged_16_to_24_3.1f" displayName="aged_16_to_24_3.1f" ref="A62:F70" totalsRowShown="0">
  <tableColumns count="6">
    <tableColumn id="1" xr3:uid="{00000000-0010-0000-2B00-000001000000}" name="Year"/>
    <tableColumn id="2" xr3:uid="{00000000-0010-0000-2B00-000002000000}" name="Level 2 and above (number)"/>
    <tableColumn id="3" xr3:uid="{00000000-0010-0000-2B00-000003000000}" name="Level 2 and above (percentage)"/>
    <tableColumn id="4" xr3:uid="{00000000-0010-0000-2B00-000004000000}" name="Level 3 and above (number)"/>
    <tableColumn id="5" xr3:uid="{00000000-0010-0000-2B00-000005000000}" name="Level 3 and above (percentage)"/>
    <tableColumn id="6" xr3:uid="{00000000-0010-0000-2B00-000006000000}" name="Small Sample Size Cells"/>
  </tableColumns>
  <tableStyleInfo name="none" showFirstColumn="0" showLastColumn="0" showRowStripes="0"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C000000}" name="aged_16_to_24_3.1g" displayName="aged_16_to_24_3.1g" ref="A73:F81" totalsRowShown="0">
  <tableColumns count="6">
    <tableColumn id="1" xr3:uid="{00000000-0010-0000-2C00-000001000000}" name="Year"/>
    <tableColumn id="2" xr3:uid="{00000000-0010-0000-2C00-000002000000}" name="Level 2 and above (number)"/>
    <tableColumn id="3" xr3:uid="{00000000-0010-0000-2C00-000003000000}" name="Level 2 and above (percentage)"/>
    <tableColumn id="4" xr3:uid="{00000000-0010-0000-2C00-000004000000}" name="Level 3 and above (number)"/>
    <tableColumn id="5" xr3:uid="{00000000-0010-0000-2C00-000005000000}" name="Level 3 and above (percentage)"/>
    <tableColumn id="6" xr3:uid="{00000000-0010-0000-2C00-000006000000}" name="Small Sample Size Cells"/>
  </tableColumns>
  <tableStyleInfo name="none" showFirstColumn="0" showLastColumn="0" showRowStripes="0"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D000000}" name="aged_16_to_24_3.1h" displayName="aged_16_to_24_3.1h" ref="A84:F92" totalsRowShown="0">
  <tableColumns count="6">
    <tableColumn id="1" xr3:uid="{00000000-0010-0000-2D00-000001000000}" name="Year"/>
    <tableColumn id="2" xr3:uid="{00000000-0010-0000-2D00-000002000000}" name="Level 2 and above (number)"/>
    <tableColumn id="3" xr3:uid="{00000000-0010-0000-2D00-000003000000}" name="Level 2 and above (percentage)"/>
    <tableColumn id="4" xr3:uid="{00000000-0010-0000-2D00-000004000000}" name="Level 3 and above (number)"/>
    <tableColumn id="5" xr3:uid="{00000000-0010-0000-2D00-000005000000}" name="Level 3 and above (percentage)"/>
    <tableColumn id="6" xr3:uid="{00000000-0010-0000-2D00-000006000000}" name="Small Sample Size Cells"/>
  </tableColumns>
  <tableStyleInfo name="none" showFirstColumn="0" showLastColumn="0" showRowStripes="0"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2E000000}" name="aged_16_to_24_3.1i" displayName="aged_16_to_24_3.1i" ref="A95:F103" totalsRowShown="0">
  <tableColumns count="6">
    <tableColumn id="1" xr3:uid="{00000000-0010-0000-2E00-000001000000}" name="Year"/>
    <tableColumn id="2" xr3:uid="{00000000-0010-0000-2E00-000002000000}" name="Level 2 and above (number)"/>
    <tableColumn id="3" xr3:uid="{00000000-0010-0000-2E00-000003000000}" name="Level 2 and above (percentage)"/>
    <tableColumn id="4" xr3:uid="{00000000-0010-0000-2E00-000004000000}" name="Level 3 and above (number)"/>
    <tableColumn id="5" xr3:uid="{00000000-0010-0000-2E00-000005000000}" name="Level 3 and above (percentage)"/>
    <tableColumn id="6" xr3:uid="{00000000-0010-0000-2E00-000006000000}" name="Small Sample Size Cells"/>
  </tableColumns>
  <tableStyleInfo name="none" showFirstColumn="0" showLastColumn="0" showRowStripes="0"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2F000000}" name="aged_16_to_24_3.1j" displayName="aged_16_to_24_3.1j" ref="A106:F114" totalsRowShown="0">
  <tableColumns count="6">
    <tableColumn id="1" xr3:uid="{00000000-0010-0000-2F00-000001000000}" name="Year"/>
    <tableColumn id="2" xr3:uid="{00000000-0010-0000-2F00-000002000000}" name="Level 2 and above (number)"/>
    <tableColumn id="3" xr3:uid="{00000000-0010-0000-2F00-000003000000}" name="Level 2 and above (percentage)"/>
    <tableColumn id="4" xr3:uid="{00000000-0010-0000-2F00-000004000000}" name="Level 3 and above (number)"/>
    <tableColumn id="5" xr3:uid="{00000000-0010-0000-2F00-000005000000}" name="Level 3 and above (percentage)"/>
    <tableColumn id="6" xr3:uid="{00000000-0010-0000-2F00-000006000000}" name="Small Sample Size Cells"/>
  </tableColumns>
  <tableStyleInfo name="none" showFirstColumn="0" showLastColumn="0" showRowStripes="0"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0000000}" name="aged_16_to_24_3.1k" displayName="aged_16_to_24_3.1k" ref="A117:F125" totalsRowShown="0">
  <tableColumns count="6">
    <tableColumn id="1" xr3:uid="{00000000-0010-0000-3000-000001000000}" name="Year"/>
    <tableColumn id="2" xr3:uid="{00000000-0010-0000-3000-000002000000}" name="Level 2 and above (number)"/>
    <tableColumn id="3" xr3:uid="{00000000-0010-0000-3000-000003000000}" name="Level 2 and above (percentage)"/>
    <tableColumn id="4" xr3:uid="{00000000-0010-0000-3000-000004000000}" name="Level 3 and above (number)"/>
    <tableColumn id="5" xr3:uid="{00000000-0010-0000-3000-000005000000}" name="Level 3 and above (percentage)"/>
    <tableColumn id="6" xr3:uid="{00000000-0010-0000-3000-000006000000}" name="Small Sample Size Cells"/>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ni_1c" displayName="ni_1c" ref="A29:F37" totalsRowShown="0">
  <tableColumns count="6">
    <tableColumn id="1" xr3:uid="{00000000-0010-0000-0400-000001000000}" name="Year"/>
    <tableColumn id="2" xr3:uid="{00000000-0010-0000-0400-000002000000}" name="Level 2 and above (number)"/>
    <tableColumn id="3" xr3:uid="{00000000-0010-0000-0400-000003000000}" name="Level 2 and above (percentage)"/>
    <tableColumn id="4" xr3:uid="{00000000-0010-0000-0400-000004000000}" name="Level 3 and above (number)"/>
    <tableColumn id="5" xr3:uid="{00000000-0010-0000-0400-000005000000}" name="Level 3 and above (percentage)"/>
    <tableColumn id="6" xr3:uid="{00000000-0010-0000-0400-000006000000}" name="Small Sample Size Cells"/>
  </tableColumns>
  <tableStyleInfo name="none" showFirstColumn="0" showLastColumn="0" showRowStripes="0"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1000000}" name="aged_16_to_24_3.1l" displayName="aged_16_to_24_3.1l" ref="A128:F136" totalsRowShown="0">
  <tableColumns count="6">
    <tableColumn id="1" xr3:uid="{00000000-0010-0000-3100-000001000000}" name="Year"/>
    <tableColumn id="2" xr3:uid="{00000000-0010-0000-3100-000002000000}" name="Level 2 and above (number)"/>
    <tableColumn id="3" xr3:uid="{00000000-0010-0000-3100-000003000000}" name="Level 2 and above (percentage)"/>
    <tableColumn id="4" xr3:uid="{00000000-0010-0000-3100-000004000000}" name="Level 3 and above (number)"/>
    <tableColumn id="5" xr3:uid="{00000000-0010-0000-3100-000005000000}" name="Level 3 and above (percentage)"/>
    <tableColumn id="6" xr3:uid="{00000000-0010-0000-3100-000006000000}" name="Small Sample Size Cells"/>
  </tableColumns>
  <tableStyleInfo name="none" showFirstColumn="0" showLastColumn="0" showRowStripes="0"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2000000}" name="aged_25_to_34_3.2a" displayName="aged_25_to_34_3.2a" ref="A7:F15" totalsRowShown="0">
  <tableColumns count="6">
    <tableColumn id="1" xr3:uid="{00000000-0010-0000-3200-000001000000}" name="Year"/>
    <tableColumn id="2" xr3:uid="{00000000-0010-0000-3200-000002000000}" name="Level 2 and above (number)"/>
    <tableColumn id="3" xr3:uid="{00000000-0010-0000-3200-000003000000}" name="Level 2 and above (percentage)"/>
    <tableColumn id="4" xr3:uid="{00000000-0010-0000-3200-000004000000}" name="Level 3 and above (number)"/>
    <tableColumn id="5" xr3:uid="{00000000-0010-0000-3200-000005000000}" name="Level 3 and above (percentage)"/>
    <tableColumn id="6" xr3:uid="{00000000-0010-0000-3200-000006000000}" name="Small Sample Size Cells"/>
  </tableColumns>
  <tableStyleInfo name="none" showFirstColumn="0" showLastColumn="0" showRowStripes="0"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3000000}" name="aged_25_to_34_3.2b" displayName="aged_25_to_34_3.2b" ref="A18:F26" totalsRowShown="0">
  <tableColumns count="6">
    <tableColumn id="1" xr3:uid="{00000000-0010-0000-3300-000001000000}" name="Year"/>
    <tableColumn id="2" xr3:uid="{00000000-0010-0000-3300-000002000000}" name="Level 2 and above (number)"/>
    <tableColumn id="3" xr3:uid="{00000000-0010-0000-3300-000003000000}" name="Level 2 and above (percentage)"/>
    <tableColumn id="4" xr3:uid="{00000000-0010-0000-3300-000004000000}" name="Level 3 and above (number)"/>
    <tableColumn id="5" xr3:uid="{00000000-0010-0000-3300-000005000000}" name="Level 3 and above (percentage)"/>
    <tableColumn id="6" xr3:uid="{00000000-0010-0000-3300-000006000000}" name="Small Sample Size Cells"/>
  </tableColumns>
  <tableStyleInfo name="none" showFirstColumn="0" showLastColumn="0" showRowStripes="0"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4000000}" name="aged_25_to_34_3.2c" displayName="aged_25_to_34_3.2c" ref="A29:F37" totalsRowShown="0">
  <tableColumns count="6">
    <tableColumn id="1" xr3:uid="{00000000-0010-0000-3400-000001000000}" name="Year"/>
    <tableColumn id="2" xr3:uid="{00000000-0010-0000-3400-000002000000}" name="Level 2 and above (number)"/>
    <tableColumn id="3" xr3:uid="{00000000-0010-0000-3400-000003000000}" name="Level 2 and above (percentage)"/>
    <tableColumn id="4" xr3:uid="{00000000-0010-0000-3400-000004000000}" name="Level 3 and above (number)"/>
    <tableColumn id="5" xr3:uid="{00000000-0010-0000-3400-000005000000}" name="Level 3 and above (percentage)"/>
    <tableColumn id="6" xr3:uid="{00000000-0010-0000-3400-000006000000}" name="Small Sample Size Cells"/>
  </tableColumns>
  <tableStyleInfo name="none" showFirstColumn="0" showLastColumn="0" showRowStripes="0"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5000000}" name="aged_25_to_34_3.2d" displayName="aged_25_to_34_3.2d" ref="A40:F48" totalsRowShown="0">
  <tableColumns count="6">
    <tableColumn id="1" xr3:uid="{00000000-0010-0000-3500-000001000000}" name="Year"/>
    <tableColumn id="2" xr3:uid="{00000000-0010-0000-3500-000002000000}" name="Level 2 and above (number)"/>
    <tableColumn id="3" xr3:uid="{00000000-0010-0000-3500-000003000000}" name="Level 2 and above (percentage)"/>
    <tableColumn id="4" xr3:uid="{00000000-0010-0000-3500-000004000000}" name="Level 3 and above (number)"/>
    <tableColumn id="5" xr3:uid="{00000000-0010-0000-3500-000005000000}" name="Level 3 and above (percentage)"/>
    <tableColumn id="6" xr3:uid="{00000000-0010-0000-3500-000006000000}" name="Small Sample Size Cells"/>
  </tableColumns>
  <tableStyleInfo name="none" showFirstColumn="0" showLastColumn="0" showRowStripes="0"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6000000}" name="aged_25_to_34_3.2e" displayName="aged_25_to_34_3.2e" ref="A51:F59" totalsRowShown="0">
  <tableColumns count="6">
    <tableColumn id="1" xr3:uid="{00000000-0010-0000-3600-000001000000}" name="Year"/>
    <tableColumn id="2" xr3:uid="{00000000-0010-0000-3600-000002000000}" name="Level 2 and above (number)"/>
    <tableColumn id="3" xr3:uid="{00000000-0010-0000-3600-000003000000}" name="Level 2 and above (percentage)"/>
    <tableColumn id="4" xr3:uid="{00000000-0010-0000-3600-000004000000}" name="Level 3 and above (number)"/>
    <tableColumn id="5" xr3:uid="{00000000-0010-0000-3600-000005000000}" name="Level 3 and above (percentage)"/>
    <tableColumn id="6" xr3:uid="{00000000-0010-0000-3600-000006000000}" name="Small Sample Size Cells"/>
  </tableColumns>
  <tableStyleInfo name="none" showFirstColumn="0" showLastColumn="0" showRowStripes="0"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7000000}" name="aged_25_to_34_3.2f" displayName="aged_25_to_34_3.2f" ref="A62:F70" totalsRowShown="0">
  <tableColumns count="6">
    <tableColumn id="1" xr3:uid="{00000000-0010-0000-3700-000001000000}" name="Year"/>
    <tableColumn id="2" xr3:uid="{00000000-0010-0000-3700-000002000000}" name="Level 2 and above (number)"/>
    <tableColumn id="3" xr3:uid="{00000000-0010-0000-3700-000003000000}" name="Level 2 and above (percentage)"/>
    <tableColumn id="4" xr3:uid="{00000000-0010-0000-3700-000004000000}" name="Level 3 and above (number)"/>
    <tableColumn id="5" xr3:uid="{00000000-0010-0000-3700-000005000000}" name="Level 3 and above (percentage)"/>
    <tableColumn id="6" xr3:uid="{00000000-0010-0000-3700-000006000000}" name="Small Sample Size Cells"/>
  </tableColumns>
  <tableStyleInfo name="none" showFirstColumn="0" showLastColumn="0" showRowStripes="0"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38000000}" name="aged_25_to_34_3.2g" displayName="aged_25_to_34_3.2g" ref="A73:F81" totalsRowShown="0">
  <tableColumns count="6">
    <tableColumn id="1" xr3:uid="{00000000-0010-0000-3800-000001000000}" name="Year"/>
    <tableColumn id="2" xr3:uid="{00000000-0010-0000-3800-000002000000}" name="Level 2 and above (number)"/>
    <tableColumn id="3" xr3:uid="{00000000-0010-0000-3800-000003000000}" name="Level 2 and above (percentage)"/>
    <tableColumn id="4" xr3:uid="{00000000-0010-0000-3800-000004000000}" name="Level 3 and above (number)"/>
    <tableColumn id="5" xr3:uid="{00000000-0010-0000-3800-000005000000}" name="Level 3 and above (percentage)"/>
    <tableColumn id="6" xr3:uid="{00000000-0010-0000-3800-000006000000}" name="Small Sample Size Cells"/>
  </tableColumns>
  <tableStyleInfo name="none" showFirstColumn="0" showLastColumn="0" showRowStripes="0"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39000000}" name="aged_25_to_34_3.2h" displayName="aged_25_to_34_3.2h" ref="A84:F92" totalsRowShown="0">
  <tableColumns count="6">
    <tableColumn id="1" xr3:uid="{00000000-0010-0000-3900-000001000000}" name="Year"/>
    <tableColumn id="2" xr3:uid="{00000000-0010-0000-3900-000002000000}" name="Level 2 and above (number)"/>
    <tableColumn id="3" xr3:uid="{00000000-0010-0000-3900-000003000000}" name="Level 2 and above (percentage)"/>
    <tableColumn id="4" xr3:uid="{00000000-0010-0000-3900-000004000000}" name="Level 3 and above (number)"/>
    <tableColumn id="5" xr3:uid="{00000000-0010-0000-3900-000005000000}" name="Level 3 and above (percentage)"/>
    <tableColumn id="6" xr3:uid="{00000000-0010-0000-3900-000006000000}" name="Small Sample Size Cells"/>
  </tableColumns>
  <tableStyleInfo name="none" showFirstColumn="0" showLastColumn="0" showRowStripes="0"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3A000000}" name="aged_25_to_34_3.2i" displayName="aged_25_to_34_3.2i" ref="A95:F103" totalsRowShown="0">
  <tableColumns count="6">
    <tableColumn id="1" xr3:uid="{00000000-0010-0000-3A00-000001000000}" name="Year"/>
    <tableColumn id="2" xr3:uid="{00000000-0010-0000-3A00-000002000000}" name="Level 2 and above (number)"/>
    <tableColumn id="3" xr3:uid="{00000000-0010-0000-3A00-000003000000}" name="Level 2 and above (percentage)"/>
    <tableColumn id="4" xr3:uid="{00000000-0010-0000-3A00-000004000000}" name="Level 3 and above (number)"/>
    <tableColumn id="5" xr3:uid="{00000000-0010-0000-3A00-000005000000}" name="Level 3 and above (percentage)"/>
    <tableColumn id="6" xr3:uid="{00000000-0010-0000-3A00-000006000000}" name="Small Sample Size Cells"/>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ni_1d" displayName="ni_1d" ref="A40:F48" totalsRowShown="0">
  <tableColumns count="6">
    <tableColumn id="1" xr3:uid="{00000000-0010-0000-0500-000001000000}" name="Year"/>
    <tableColumn id="2" xr3:uid="{00000000-0010-0000-0500-000002000000}" name="Level 2 and above (number)"/>
    <tableColumn id="3" xr3:uid="{00000000-0010-0000-0500-000003000000}" name="Level 2 and above (percentage)"/>
    <tableColumn id="4" xr3:uid="{00000000-0010-0000-0500-000004000000}" name="Level 3 and above (number)"/>
    <tableColumn id="5" xr3:uid="{00000000-0010-0000-0500-000005000000}" name="Level 3 and above (percentage)"/>
    <tableColumn id="6" xr3:uid="{00000000-0010-0000-0500-000006000000}" name="Small Sample Size Cells"/>
  </tableColumns>
  <tableStyleInfo name="none" showFirstColumn="0" showLastColumn="0" showRowStripes="0"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3B000000}" name="aged_25_to_34_3.2j" displayName="aged_25_to_34_3.2j" ref="A106:F114" totalsRowShown="0">
  <tableColumns count="6">
    <tableColumn id="1" xr3:uid="{00000000-0010-0000-3B00-000001000000}" name="Year"/>
    <tableColumn id="2" xr3:uid="{00000000-0010-0000-3B00-000002000000}" name="Level 2 and above (number)"/>
    <tableColumn id="3" xr3:uid="{00000000-0010-0000-3B00-000003000000}" name="Level 2 and above (percentage)"/>
    <tableColumn id="4" xr3:uid="{00000000-0010-0000-3B00-000004000000}" name="Level 3 and above (number)"/>
    <tableColumn id="5" xr3:uid="{00000000-0010-0000-3B00-000005000000}" name="Level 3 and above (percentage)"/>
    <tableColumn id="6" xr3:uid="{00000000-0010-0000-3B00-000006000000}" name="Small Sample Size Cells"/>
  </tableColumns>
  <tableStyleInfo name="none" showFirstColumn="0" showLastColumn="0" showRowStripes="0"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3C000000}" name="aged_25_to_34_3.2k" displayName="aged_25_to_34_3.2k" ref="A117:F125" totalsRowShown="0">
  <tableColumns count="6">
    <tableColumn id="1" xr3:uid="{00000000-0010-0000-3C00-000001000000}" name="Year"/>
    <tableColumn id="2" xr3:uid="{00000000-0010-0000-3C00-000002000000}" name="Level 2 and above (number)"/>
    <tableColumn id="3" xr3:uid="{00000000-0010-0000-3C00-000003000000}" name="Level 2 and above (percentage)"/>
    <tableColumn id="4" xr3:uid="{00000000-0010-0000-3C00-000004000000}" name="Level 3 and above (number)"/>
    <tableColumn id="5" xr3:uid="{00000000-0010-0000-3C00-000005000000}" name="Level 3 and above (percentage)"/>
    <tableColumn id="6" xr3:uid="{00000000-0010-0000-3C00-000006000000}" name="Small Sample Size Cells"/>
  </tableColumns>
  <tableStyleInfo name="none" showFirstColumn="0" showLastColumn="0" showRowStripes="0"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3D000000}" name="aged_25_to_34_3.2l" displayName="aged_25_to_34_3.2l" ref="A128:F136" totalsRowShown="0">
  <tableColumns count="6">
    <tableColumn id="1" xr3:uid="{00000000-0010-0000-3D00-000001000000}" name="Year"/>
    <tableColumn id="2" xr3:uid="{00000000-0010-0000-3D00-000002000000}" name="Level 2 and above (number)"/>
    <tableColumn id="3" xr3:uid="{00000000-0010-0000-3D00-000003000000}" name="Level 2 and above (percentage)"/>
    <tableColumn id="4" xr3:uid="{00000000-0010-0000-3D00-000004000000}" name="Level 3 and above (number)"/>
    <tableColumn id="5" xr3:uid="{00000000-0010-0000-3D00-000005000000}" name="Level 3 and above (percentage)"/>
    <tableColumn id="6" xr3:uid="{00000000-0010-0000-3D00-000006000000}" name="Small Sample Size Cells"/>
  </tableColumns>
  <tableStyleInfo name="none" showFirstColumn="0" showLastColumn="0" showRowStripes="0"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3E000000}" name="aged_35_to_49_3.3a" displayName="aged_35_to_49_3.3a" ref="A7:F15" totalsRowShown="0">
  <tableColumns count="6">
    <tableColumn id="1" xr3:uid="{00000000-0010-0000-3E00-000001000000}" name="Year"/>
    <tableColumn id="2" xr3:uid="{00000000-0010-0000-3E00-000002000000}" name="Level 2 and above (number)"/>
    <tableColumn id="3" xr3:uid="{00000000-0010-0000-3E00-000003000000}" name="Level 2 and above (percentage)"/>
    <tableColumn id="4" xr3:uid="{00000000-0010-0000-3E00-000004000000}" name="Level 3 and above (number)"/>
    <tableColumn id="5" xr3:uid="{00000000-0010-0000-3E00-000005000000}" name="Level 3 and above (percentage)"/>
    <tableColumn id="6" xr3:uid="{00000000-0010-0000-3E00-000006000000}" name="Small Sample Size Cells"/>
  </tableColumns>
  <tableStyleInfo name="none" showFirstColumn="0" showLastColumn="0" showRowStripes="0"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3F000000}" name="aged_35_to_49_3.3b" displayName="aged_35_to_49_3.3b" ref="A18:F26" totalsRowShown="0">
  <tableColumns count="6">
    <tableColumn id="1" xr3:uid="{00000000-0010-0000-3F00-000001000000}" name="Year"/>
    <tableColumn id="2" xr3:uid="{00000000-0010-0000-3F00-000002000000}" name="Level 2 and above (number)"/>
    <tableColumn id="3" xr3:uid="{00000000-0010-0000-3F00-000003000000}" name="Level 2 and above (percentage)"/>
    <tableColumn id="4" xr3:uid="{00000000-0010-0000-3F00-000004000000}" name="Level 3 and above (number)"/>
    <tableColumn id="5" xr3:uid="{00000000-0010-0000-3F00-000005000000}" name="Level 3 and above (percentage)"/>
    <tableColumn id="6" xr3:uid="{00000000-0010-0000-3F00-000006000000}" name="Small Sample Size Cells"/>
  </tableColumns>
  <tableStyleInfo name="none" showFirstColumn="0" showLastColumn="0" showRowStripes="0"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0000000}" name="aged_35_to_49_3.3c" displayName="aged_35_to_49_3.3c" ref="A29:F37" totalsRowShown="0">
  <tableColumns count="6">
    <tableColumn id="1" xr3:uid="{00000000-0010-0000-4000-000001000000}" name="Year"/>
    <tableColumn id="2" xr3:uid="{00000000-0010-0000-4000-000002000000}" name="Level 2 and above (number)"/>
    <tableColumn id="3" xr3:uid="{00000000-0010-0000-4000-000003000000}" name="Level 2 and above (percentage)"/>
    <tableColumn id="4" xr3:uid="{00000000-0010-0000-4000-000004000000}" name="Level 3 and above (number)"/>
    <tableColumn id="5" xr3:uid="{00000000-0010-0000-4000-000005000000}" name="Level 3 and above (percentage)"/>
    <tableColumn id="6" xr3:uid="{00000000-0010-0000-4000-000006000000}" name="Small Sample Size Cells"/>
  </tableColumns>
  <tableStyleInfo name="none" showFirstColumn="0" showLastColumn="0" showRowStripes="0"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1000000}" name="aged_35_to_49_3.3d" displayName="aged_35_to_49_3.3d" ref="A40:F48" totalsRowShown="0">
  <tableColumns count="6">
    <tableColumn id="1" xr3:uid="{00000000-0010-0000-4100-000001000000}" name="Year"/>
    <tableColumn id="2" xr3:uid="{00000000-0010-0000-4100-000002000000}" name="Level 2 and above (number)"/>
    <tableColumn id="3" xr3:uid="{00000000-0010-0000-4100-000003000000}" name="Level 2 and above (percentage)"/>
    <tableColumn id="4" xr3:uid="{00000000-0010-0000-4100-000004000000}" name="Level 3 and above (number)"/>
    <tableColumn id="5" xr3:uid="{00000000-0010-0000-4100-000005000000}" name="Level 3 and above (percentage)"/>
    <tableColumn id="6" xr3:uid="{00000000-0010-0000-4100-000006000000}" name="Small Sample Size Cells"/>
  </tableColumns>
  <tableStyleInfo name="none" showFirstColumn="0" showLastColumn="0" showRowStripes="0"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2000000}" name="aged_35_to_49_3.3e" displayName="aged_35_to_49_3.3e" ref="A51:F59" totalsRowShown="0">
  <tableColumns count="6">
    <tableColumn id="1" xr3:uid="{00000000-0010-0000-4200-000001000000}" name="Year"/>
    <tableColumn id="2" xr3:uid="{00000000-0010-0000-4200-000002000000}" name="Level 2 and above (number)"/>
    <tableColumn id="3" xr3:uid="{00000000-0010-0000-4200-000003000000}" name="Level 2 and above (percentage)"/>
    <tableColumn id="4" xr3:uid="{00000000-0010-0000-4200-000004000000}" name="Level 3 and above (number)"/>
    <tableColumn id="5" xr3:uid="{00000000-0010-0000-4200-000005000000}" name="Level 3 and above (percentage)"/>
    <tableColumn id="6" xr3:uid="{00000000-0010-0000-4200-000006000000}" name="Small Sample Size Cells"/>
  </tableColumns>
  <tableStyleInfo name="none" showFirstColumn="0" showLastColumn="0" showRowStripes="0"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3000000}" name="aged_35_to_49_3.3f" displayName="aged_35_to_49_3.3f" ref="A62:F70" totalsRowShown="0">
  <tableColumns count="6">
    <tableColumn id="1" xr3:uid="{00000000-0010-0000-4300-000001000000}" name="Year"/>
    <tableColumn id="2" xr3:uid="{00000000-0010-0000-4300-000002000000}" name="Level 2 and above (number)"/>
    <tableColumn id="3" xr3:uid="{00000000-0010-0000-4300-000003000000}" name="Level 2 and above (percentage)"/>
    <tableColumn id="4" xr3:uid="{00000000-0010-0000-4300-000004000000}" name="Level 3 and above (number)"/>
    <tableColumn id="5" xr3:uid="{00000000-0010-0000-4300-000005000000}" name="Level 3 and above (percentage)"/>
    <tableColumn id="6" xr3:uid="{00000000-0010-0000-4300-000006000000}" name="Small Sample Size Cells"/>
  </tableColumns>
  <tableStyleInfo name="none" showFirstColumn="0" showLastColumn="0" showRowStripes="0"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4000000}" name="aged_35_to_49_3.3g" displayName="aged_35_to_49_3.3g" ref="A73:F81" totalsRowShown="0">
  <tableColumns count="6">
    <tableColumn id="1" xr3:uid="{00000000-0010-0000-4400-000001000000}" name="Year"/>
    <tableColumn id="2" xr3:uid="{00000000-0010-0000-4400-000002000000}" name="Level 2 and above (number)"/>
    <tableColumn id="3" xr3:uid="{00000000-0010-0000-4400-000003000000}" name="Level 2 and above (percentage)"/>
    <tableColumn id="4" xr3:uid="{00000000-0010-0000-4400-000004000000}" name="Level 3 and above (number)"/>
    <tableColumn id="5" xr3:uid="{00000000-0010-0000-4400-000005000000}" name="Level 3 and above (percentage)"/>
    <tableColumn id="6" xr3:uid="{00000000-0010-0000-4400-000006000000}" name="Small Sample Size Cells"/>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i_1e" displayName="ni_1e" ref="A51:F59" totalsRowShown="0">
  <tableColumns count="6">
    <tableColumn id="1" xr3:uid="{00000000-0010-0000-0600-000001000000}" name="Year"/>
    <tableColumn id="2" xr3:uid="{00000000-0010-0000-0600-000002000000}" name="Level 2 and above (number)"/>
    <tableColumn id="3" xr3:uid="{00000000-0010-0000-0600-000003000000}" name="Level 2 and above (percentage)"/>
    <tableColumn id="4" xr3:uid="{00000000-0010-0000-0600-000004000000}" name="Level 3 and above (number)"/>
    <tableColumn id="5" xr3:uid="{00000000-0010-0000-0600-000005000000}" name="Level 3 and above (percentage)"/>
    <tableColumn id="6" xr3:uid="{00000000-0010-0000-0600-000006000000}" name="Small Sample Size Cells"/>
  </tableColumns>
  <tableStyleInfo name="none" showFirstColumn="0" showLastColumn="0" showRowStripes="0"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5000000}" name="aged_35_to_49_3.3h" displayName="aged_35_to_49_3.3h" ref="A84:F92" totalsRowShown="0">
  <tableColumns count="6">
    <tableColumn id="1" xr3:uid="{00000000-0010-0000-4500-000001000000}" name="Year"/>
    <tableColumn id="2" xr3:uid="{00000000-0010-0000-4500-000002000000}" name="Level 2 and above (number)"/>
    <tableColumn id="3" xr3:uid="{00000000-0010-0000-4500-000003000000}" name="Level 2 and above (percentage)"/>
    <tableColumn id="4" xr3:uid="{00000000-0010-0000-4500-000004000000}" name="Level 3 and above (number)"/>
    <tableColumn id="5" xr3:uid="{00000000-0010-0000-4500-000005000000}" name="Level 3 and above (percentage)"/>
    <tableColumn id="6" xr3:uid="{00000000-0010-0000-4500-000006000000}" name="Small Sample Size Cells"/>
  </tableColumns>
  <tableStyleInfo name="none" showFirstColumn="0" showLastColumn="0" showRowStripes="0"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6000000}" name="aged_35_to_49_3.3i" displayName="aged_35_to_49_3.3i" ref="A95:F103" totalsRowShown="0">
  <tableColumns count="6">
    <tableColumn id="1" xr3:uid="{00000000-0010-0000-4600-000001000000}" name="Year"/>
    <tableColumn id="2" xr3:uid="{00000000-0010-0000-4600-000002000000}" name="Level 2 and above (number)"/>
    <tableColumn id="3" xr3:uid="{00000000-0010-0000-4600-000003000000}" name="Level 2 and above (percentage)"/>
    <tableColumn id="4" xr3:uid="{00000000-0010-0000-4600-000004000000}" name="Level 3 and above (number)"/>
    <tableColumn id="5" xr3:uid="{00000000-0010-0000-4600-000005000000}" name="Level 3 and above (percentage)"/>
    <tableColumn id="6" xr3:uid="{00000000-0010-0000-4600-000006000000}" name="Small Sample Size Cells"/>
  </tableColumns>
  <tableStyleInfo name="none" showFirstColumn="0" showLastColumn="0" showRowStripes="0"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7000000}" name="aged_35_to_49_3.3j" displayName="aged_35_to_49_3.3j" ref="A106:F114" totalsRowShown="0">
  <tableColumns count="6">
    <tableColumn id="1" xr3:uid="{00000000-0010-0000-4700-000001000000}" name="Year"/>
    <tableColumn id="2" xr3:uid="{00000000-0010-0000-4700-000002000000}" name="Level 2 and above (number)"/>
    <tableColumn id="3" xr3:uid="{00000000-0010-0000-4700-000003000000}" name="Level 2 and above (percentage)"/>
    <tableColumn id="4" xr3:uid="{00000000-0010-0000-4700-000004000000}" name="Level 3 and above (number)"/>
    <tableColumn id="5" xr3:uid="{00000000-0010-0000-4700-000005000000}" name="Level 3 and above (percentage)"/>
    <tableColumn id="6" xr3:uid="{00000000-0010-0000-4700-000006000000}" name="Small Sample Size Cells"/>
  </tableColumns>
  <tableStyleInfo name="none" showFirstColumn="0" showLastColumn="0" showRowStripes="0"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48000000}" name="aged_35_to_49_3.3k" displayName="aged_35_to_49_3.3k" ref="A117:F125" totalsRowShown="0">
  <tableColumns count="6">
    <tableColumn id="1" xr3:uid="{00000000-0010-0000-4800-000001000000}" name="Year"/>
    <tableColumn id="2" xr3:uid="{00000000-0010-0000-4800-000002000000}" name="Level 2 and above (number)"/>
    <tableColumn id="3" xr3:uid="{00000000-0010-0000-4800-000003000000}" name="Level 2 and above (percentage)"/>
    <tableColumn id="4" xr3:uid="{00000000-0010-0000-4800-000004000000}" name="Level 3 and above (number)"/>
    <tableColumn id="5" xr3:uid="{00000000-0010-0000-4800-000005000000}" name="Level 3 and above (percentage)"/>
    <tableColumn id="6" xr3:uid="{00000000-0010-0000-4800-000006000000}" name="Small Sample Size Cells"/>
  </tableColumns>
  <tableStyleInfo name="none" showFirstColumn="0" showLastColumn="0" showRowStripes="0"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49000000}" name="aged_35_to_49_3.3l" displayName="aged_35_to_49_3.3l" ref="A128:F136" totalsRowShown="0">
  <tableColumns count="6">
    <tableColumn id="1" xr3:uid="{00000000-0010-0000-4900-000001000000}" name="Year"/>
    <tableColumn id="2" xr3:uid="{00000000-0010-0000-4900-000002000000}" name="Level 2 and above (number)"/>
    <tableColumn id="3" xr3:uid="{00000000-0010-0000-4900-000003000000}" name="Level 2 and above (percentage)"/>
    <tableColumn id="4" xr3:uid="{00000000-0010-0000-4900-000004000000}" name="Level 3 and above (number)"/>
    <tableColumn id="5" xr3:uid="{00000000-0010-0000-4900-000005000000}" name="Level 3 and above (percentage)"/>
    <tableColumn id="6" xr3:uid="{00000000-0010-0000-4900-000006000000}" name="Small Sample Size Cells"/>
  </tableColumns>
  <tableStyleInfo name="none" showFirstColumn="0" showLastColumn="0" showRowStripes="0"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4A000000}" name="aged_50_to_64_3.4a" displayName="aged_50_to_64_3.4a" ref="A7:F15" totalsRowShown="0">
  <tableColumns count="6">
    <tableColumn id="1" xr3:uid="{00000000-0010-0000-4A00-000001000000}" name="Year"/>
    <tableColumn id="2" xr3:uid="{00000000-0010-0000-4A00-000002000000}" name="Level 2 and above (number)"/>
    <tableColumn id="3" xr3:uid="{00000000-0010-0000-4A00-000003000000}" name="Level 2 and above (percentage)"/>
    <tableColumn id="4" xr3:uid="{00000000-0010-0000-4A00-000004000000}" name="Level 3 and above (number)"/>
    <tableColumn id="5" xr3:uid="{00000000-0010-0000-4A00-000005000000}" name="Level 3 and above (percentage)"/>
    <tableColumn id="6" xr3:uid="{00000000-0010-0000-4A00-000006000000}" name="Small Sample Size Cells"/>
  </tableColumns>
  <tableStyleInfo name="none" showFirstColumn="0" showLastColumn="0" showRowStripes="0"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4B000000}" name="aged_50_to_64_3.4b" displayName="aged_50_to_64_3.4b" ref="A18:F26" totalsRowShown="0">
  <tableColumns count="6">
    <tableColumn id="1" xr3:uid="{00000000-0010-0000-4B00-000001000000}" name="Year"/>
    <tableColumn id="2" xr3:uid="{00000000-0010-0000-4B00-000002000000}" name="Level 2 and above (number)"/>
    <tableColumn id="3" xr3:uid="{00000000-0010-0000-4B00-000003000000}" name="Level 2 and above (percentage)"/>
    <tableColumn id="4" xr3:uid="{00000000-0010-0000-4B00-000004000000}" name="Level 3 and above (number)"/>
    <tableColumn id="5" xr3:uid="{00000000-0010-0000-4B00-000005000000}" name="Level 3 and above (percentage)"/>
    <tableColumn id="6" xr3:uid="{00000000-0010-0000-4B00-000006000000}" name="Small Sample Size Cells"/>
  </tableColumns>
  <tableStyleInfo name="none" showFirstColumn="0" showLastColumn="0" showRowStripes="0"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4C000000}" name="aged_50_to_64_3.4c" displayName="aged_50_to_64_3.4c" ref="A29:F37" totalsRowShown="0">
  <tableColumns count="6">
    <tableColumn id="1" xr3:uid="{00000000-0010-0000-4C00-000001000000}" name="Year"/>
    <tableColumn id="2" xr3:uid="{00000000-0010-0000-4C00-000002000000}" name="Level 2 and above (number)"/>
    <tableColumn id="3" xr3:uid="{00000000-0010-0000-4C00-000003000000}" name="Level 2 and above (percentage)"/>
    <tableColumn id="4" xr3:uid="{00000000-0010-0000-4C00-000004000000}" name="Level 3 and above (number)"/>
    <tableColumn id="5" xr3:uid="{00000000-0010-0000-4C00-000005000000}" name="Level 3 and above (percentage)"/>
    <tableColumn id="6" xr3:uid="{00000000-0010-0000-4C00-000006000000}" name="Small Sample Size Cells"/>
  </tableColumns>
  <tableStyleInfo name="none" showFirstColumn="0" showLastColumn="0" showRowStripes="0"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4D000000}" name="aged_50_to_64_3.4d" displayName="aged_50_to_64_3.4d" ref="A40:F48" totalsRowShown="0">
  <tableColumns count="6">
    <tableColumn id="1" xr3:uid="{00000000-0010-0000-4D00-000001000000}" name="Year"/>
    <tableColumn id="2" xr3:uid="{00000000-0010-0000-4D00-000002000000}" name="Level 2 and above (number)"/>
    <tableColumn id="3" xr3:uid="{00000000-0010-0000-4D00-000003000000}" name="Level 2 and above (percentage)"/>
    <tableColumn id="4" xr3:uid="{00000000-0010-0000-4D00-000004000000}" name="Level 3 and above (number)"/>
    <tableColumn id="5" xr3:uid="{00000000-0010-0000-4D00-000005000000}" name="Level 3 and above (percentage)"/>
    <tableColumn id="6" xr3:uid="{00000000-0010-0000-4D00-000006000000}" name="Small Sample Size Cells"/>
  </tableColumns>
  <tableStyleInfo name="none" showFirstColumn="0" showLastColumn="0" showRowStripes="0"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4E000000}" name="aged_50_to_64_3.4e" displayName="aged_50_to_64_3.4e" ref="A51:F59" totalsRowShown="0">
  <tableColumns count="6">
    <tableColumn id="1" xr3:uid="{00000000-0010-0000-4E00-000001000000}" name="Year"/>
    <tableColumn id="2" xr3:uid="{00000000-0010-0000-4E00-000002000000}" name="Level 2 and above (number)"/>
    <tableColumn id="3" xr3:uid="{00000000-0010-0000-4E00-000003000000}" name="Level 2 and above (percentage)"/>
    <tableColumn id="4" xr3:uid="{00000000-0010-0000-4E00-000004000000}" name="Level 3 and above (number)"/>
    <tableColumn id="5" xr3:uid="{00000000-0010-0000-4E00-000005000000}" name="Level 3 and above (percentage)"/>
    <tableColumn id="6" xr3:uid="{00000000-0010-0000-4E00-000006000000}" name="Small Sample Size Cells"/>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ni_1f" displayName="ni_1f" ref="A62:F70" totalsRowShown="0">
  <tableColumns count="6">
    <tableColumn id="1" xr3:uid="{00000000-0010-0000-0700-000001000000}" name="Year"/>
    <tableColumn id="2" xr3:uid="{00000000-0010-0000-0700-000002000000}" name="Level 2 and above (number)"/>
    <tableColumn id="3" xr3:uid="{00000000-0010-0000-0700-000003000000}" name="Level 2 and above (percentage)"/>
    <tableColumn id="4" xr3:uid="{00000000-0010-0000-0700-000004000000}" name="Level 3 and above (number)"/>
    <tableColumn id="5" xr3:uid="{00000000-0010-0000-0700-000005000000}" name="Level 3 and above (percentage)"/>
    <tableColumn id="6" xr3:uid="{00000000-0010-0000-0700-000006000000}" name="Small Sample Size Cells"/>
  </tableColumns>
  <tableStyleInfo name="none" showFirstColumn="0" showLastColumn="0" showRowStripes="0"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4F000000}" name="aged_50_to_64_3.4f" displayName="aged_50_to_64_3.4f" ref="A62:F70" totalsRowShown="0">
  <tableColumns count="6">
    <tableColumn id="1" xr3:uid="{00000000-0010-0000-4F00-000001000000}" name="Year"/>
    <tableColumn id="2" xr3:uid="{00000000-0010-0000-4F00-000002000000}" name="Level 2 and above (number)"/>
    <tableColumn id="3" xr3:uid="{00000000-0010-0000-4F00-000003000000}" name="Level 2 and above (percentage)"/>
    <tableColumn id="4" xr3:uid="{00000000-0010-0000-4F00-000004000000}" name="Level 3 and above (number)"/>
    <tableColumn id="5" xr3:uid="{00000000-0010-0000-4F00-000005000000}" name="Level 3 and above (percentage)"/>
    <tableColumn id="6" xr3:uid="{00000000-0010-0000-4F00-000006000000}" name="Small Sample Size Cells"/>
  </tableColumns>
  <tableStyleInfo name="none" showFirstColumn="0" showLastColumn="0" showRowStripes="0"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0000000}" name="aged_50_to_64_3.4g" displayName="aged_50_to_64_3.4g" ref="A73:F81" totalsRowShown="0">
  <tableColumns count="6">
    <tableColumn id="1" xr3:uid="{00000000-0010-0000-5000-000001000000}" name="Year"/>
    <tableColumn id="2" xr3:uid="{00000000-0010-0000-5000-000002000000}" name="Level 2 and above (number)"/>
    <tableColumn id="3" xr3:uid="{00000000-0010-0000-5000-000003000000}" name="Level 2 and above (percentage)"/>
    <tableColumn id="4" xr3:uid="{00000000-0010-0000-5000-000004000000}" name="Level 3 and above (number)"/>
    <tableColumn id="5" xr3:uid="{00000000-0010-0000-5000-000005000000}" name="Level 3 and above (percentage)"/>
    <tableColumn id="6" xr3:uid="{00000000-0010-0000-5000-000006000000}" name="Small Sample Size Cells"/>
  </tableColumns>
  <tableStyleInfo name="none" showFirstColumn="0" showLastColumn="0" showRowStripes="0"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1000000}" name="aged_50_to_64_3.4h" displayName="aged_50_to_64_3.4h" ref="A84:F92" totalsRowShown="0">
  <tableColumns count="6">
    <tableColumn id="1" xr3:uid="{00000000-0010-0000-5100-000001000000}" name="Year"/>
    <tableColumn id="2" xr3:uid="{00000000-0010-0000-5100-000002000000}" name="Level 2 and above (number)"/>
    <tableColumn id="3" xr3:uid="{00000000-0010-0000-5100-000003000000}" name="Level 2 and above (percentage)"/>
    <tableColumn id="4" xr3:uid="{00000000-0010-0000-5100-000004000000}" name="Level 3 and above (number)"/>
    <tableColumn id="5" xr3:uid="{00000000-0010-0000-5100-000005000000}" name="Level 3 and above (percentage)"/>
    <tableColumn id="6" xr3:uid="{00000000-0010-0000-5100-000006000000}" name="Small Sample Size Cells"/>
  </tableColumns>
  <tableStyleInfo name="none" showFirstColumn="0" showLastColumn="0" showRowStripes="0"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2000000}" name="aged_50_to_64_3.4i" displayName="aged_50_to_64_3.4i" ref="A95:F103" totalsRowShown="0">
  <tableColumns count="6">
    <tableColumn id="1" xr3:uid="{00000000-0010-0000-5200-000001000000}" name="Year"/>
    <tableColumn id="2" xr3:uid="{00000000-0010-0000-5200-000002000000}" name="Level 2 and above (number)"/>
    <tableColumn id="3" xr3:uid="{00000000-0010-0000-5200-000003000000}" name="Level 2 and above (percentage)"/>
    <tableColumn id="4" xr3:uid="{00000000-0010-0000-5200-000004000000}" name="Level 3 and above (number)"/>
    <tableColumn id="5" xr3:uid="{00000000-0010-0000-5200-000005000000}" name="Level 3 and above (percentage)"/>
    <tableColumn id="6" xr3:uid="{00000000-0010-0000-5200-000006000000}" name="Small Sample Size Cells"/>
  </tableColumns>
  <tableStyleInfo name="none" showFirstColumn="0" showLastColumn="0" showRowStripes="0"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3000000}" name="aged_50_to_64_3.4j" displayName="aged_50_to_64_3.4j" ref="A106:F114" totalsRowShown="0">
  <tableColumns count="6">
    <tableColumn id="1" xr3:uid="{00000000-0010-0000-5300-000001000000}" name="Year"/>
    <tableColumn id="2" xr3:uid="{00000000-0010-0000-5300-000002000000}" name="Level 2 and above (number)"/>
    <tableColumn id="3" xr3:uid="{00000000-0010-0000-5300-000003000000}" name="Level 2 and above (percentage)"/>
    <tableColumn id="4" xr3:uid="{00000000-0010-0000-5300-000004000000}" name="Level 3 and above (number)"/>
    <tableColumn id="5" xr3:uid="{00000000-0010-0000-5300-000005000000}" name="Level 3 and above (percentage)"/>
    <tableColumn id="6" xr3:uid="{00000000-0010-0000-5300-000006000000}" name="Small Sample Size Cells"/>
  </tableColumns>
  <tableStyleInfo name="none" showFirstColumn="0" showLastColumn="0" showRowStripes="0"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4000000}" name="aged_50_to_64_3.4k" displayName="aged_50_to_64_3.4k" ref="A117:F125" totalsRowShown="0">
  <tableColumns count="6">
    <tableColumn id="1" xr3:uid="{00000000-0010-0000-5400-000001000000}" name="Year"/>
    <tableColumn id="2" xr3:uid="{00000000-0010-0000-5400-000002000000}" name="Level 2 and above (number)"/>
    <tableColumn id="3" xr3:uid="{00000000-0010-0000-5400-000003000000}" name="Level 2 and above (percentage)"/>
    <tableColumn id="4" xr3:uid="{00000000-0010-0000-5400-000004000000}" name="Level 3 and above (number)"/>
    <tableColumn id="5" xr3:uid="{00000000-0010-0000-5400-000005000000}" name="Level 3 and above (percentage)"/>
    <tableColumn id="6" xr3:uid="{00000000-0010-0000-5400-000006000000}" name="Small Sample Size Cells"/>
  </tableColumns>
  <tableStyleInfo name="none" showFirstColumn="0" showLastColumn="0" showRowStripes="0"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5000000}" name="aged_50_to_64_3.4l" displayName="aged_50_to_64_3.4l" ref="A128:F136" totalsRowShown="0">
  <tableColumns count="6">
    <tableColumn id="1" xr3:uid="{00000000-0010-0000-5500-000001000000}" name="Year"/>
    <tableColumn id="2" xr3:uid="{00000000-0010-0000-5500-000002000000}" name="Level 2 and above (number)"/>
    <tableColumn id="3" xr3:uid="{00000000-0010-0000-5500-000003000000}" name="Level 2 and above (percentage)"/>
    <tableColumn id="4" xr3:uid="{00000000-0010-0000-5500-000004000000}" name="Level 3 and above (number)"/>
    <tableColumn id="5" xr3:uid="{00000000-0010-0000-5500-000005000000}" name="Level 3 and above (percentage)"/>
    <tableColumn id="6" xr3:uid="{00000000-0010-0000-5500-000006000000}" name="Small Sample Size Cells"/>
  </tableColumns>
  <tableStyleInfo name="none" showFirstColumn="0" showLastColumn="0" showRowStripes="0"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6000000}" name="disabled_4.1a" displayName="disabled_4.1a" ref="A7:F15" totalsRowShown="0">
  <tableColumns count="6">
    <tableColumn id="1" xr3:uid="{00000000-0010-0000-5600-000001000000}" name="Year"/>
    <tableColumn id="2" xr3:uid="{00000000-0010-0000-5600-000002000000}" name="Level 2 and above (number)"/>
    <tableColumn id="3" xr3:uid="{00000000-0010-0000-5600-000003000000}" name="Level 2 and above (percentage)"/>
    <tableColumn id="4" xr3:uid="{00000000-0010-0000-5600-000004000000}" name="Level 3 and above (number)"/>
    <tableColumn id="5" xr3:uid="{00000000-0010-0000-5600-000005000000}" name="Level 3 and above (percentage)"/>
    <tableColumn id="6" xr3:uid="{00000000-0010-0000-5600-000006000000}" name="Small Sample Size Cells"/>
  </tableColumns>
  <tableStyleInfo name="none" showFirstColumn="0" showLastColumn="0" showRowStripes="0"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7000000}" name="disabled_4.1b" displayName="disabled_4.1b" ref="A18:F26" totalsRowShown="0">
  <tableColumns count="6">
    <tableColumn id="1" xr3:uid="{00000000-0010-0000-5700-000001000000}" name="Year"/>
    <tableColumn id="2" xr3:uid="{00000000-0010-0000-5700-000002000000}" name="Level 2 and above (number)"/>
    <tableColumn id="3" xr3:uid="{00000000-0010-0000-5700-000003000000}" name="Level 2 and above (percentage)"/>
    <tableColumn id="4" xr3:uid="{00000000-0010-0000-5700-000004000000}" name="Level 3 and above (number)"/>
    <tableColumn id="5" xr3:uid="{00000000-0010-0000-5700-000005000000}" name="Level 3 and above (percentage)"/>
    <tableColumn id="6" xr3:uid="{00000000-0010-0000-5700-000006000000}" name="Small Sample Size Cells"/>
  </tableColumns>
  <tableStyleInfo name="none" showFirstColumn="0" showLastColumn="0" showRowStripes="0"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58000000}" name="disabled_4.1c" displayName="disabled_4.1c" ref="A29:F37" totalsRowShown="0">
  <tableColumns count="6">
    <tableColumn id="1" xr3:uid="{00000000-0010-0000-5800-000001000000}" name="Year"/>
    <tableColumn id="2" xr3:uid="{00000000-0010-0000-5800-000002000000}" name="Level 2 and above (number)"/>
    <tableColumn id="3" xr3:uid="{00000000-0010-0000-5800-000003000000}" name="Level 2 and above (percentage)"/>
    <tableColumn id="4" xr3:uid="{00000000-0010-0000-5800-000004000000}" name="Level 3 and above (number)"/>
    <tableColumn id="5" xr3:uid="{00000000-0010-0000-5800-000005000000}" name="Level 3 and above (percentage)"/>
    <tableColumn id="6" xr3:uid="{00000000-0010-0000-5800-000006000000}" name="Small Sample Size Cells"/>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ni_1g" displayName="ni_1g" ref="A73:F81" totalsRowShown="0">
  <tableColumns count="6">
    <tableColumn id="1" xr3:uid="{00000000-0010-0000-0800-000001000000}" name="Year"/>
    <tableColumn id="2" xr3:uid="{00000000-0010-0000-0800-000002000000}" name="Level 2 and above (number)"/>
    <tableColumn id="3" xr3:uid="{00000000-0010-0000-0800-000003000000}" name="Level 2 and above (percentage)"/>
    <tableColumn id="4" xr3:uid="{00000000-0010-0000-0800-000004000000}" name="Level 3 and above (number)"/>
    <tableColumn id="5" xr3:uid="{00000000-0010-0000-0800-000005000000}" name="Level 3 and above (percentage)"/>
    <tableColumn id="6" xr3:uid="{00000000-0010-0000-0800-000006000000}" name="Small Sample Size Cells"/>
  </tableColumns>
  <tableStyleInfo name="none" showFirstColumn="0" showLastColumn="0" showRowStripes="0"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59000000}" name="disabled_4.1d" displayName="disabled_4.1d" ref="A40:F48" totalsRowShown="0">
  <tableColumns count="6">
    <tableColumn id="1" xr3:uid="{00000000-0010-0000-5900-000001000000}" name="Year"/>
    <tableColumn id="2" xr3:uid="{00000000-0010-0000-5900-000002000000}" name="Level 2 and above (number)"/>
    <tableColumn id="3" xr3:uid="{00000000-0010-0000-5900-000003000000}" name="Level 2 and above (percentage)"/>
    <tableColumn id="4" xr3:uid="{00000000-0010-0000-5900-000004000000}" name="Level 3 and above (number)"/>
    <tableColumn id="5" xr3:uid="{00000000-0010-0000-5900-000005000000}" name="Level 3 and above (percentage)"/>
    <tableColumn id="6" xr3:uid="{00000000-0010-0000-5900-000006000000}" name="Small Sample Size Cells"/>
  </tableColumns>
  <tableStyleInfo name="none" showFirstColumn="0" showLastColumn="0" showRowStripes="0"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5A000000}" name="disabled_4.1e" displayName="disabled_4.1e" ref="A51:F59" totalsRowShown="0">
  <tableColumns count="6">
    <tableColumn id="1" xr3:uid="{00000000-0010-0000-5A00-000001000000}" name="Year"/>
    <tableColumn id="2" xr3:uid="{00000000-0010-0000-5A00-000002000000}" name="Level 2 and above (number)"/>
    <tableColumn id="3" xr3:uid="{00000000-0010-0000-5A00-000003000000}" name="Level 2 and above (percentage)"/>
    <tableColumn id="4" xr3:uid="{00000000-0010-0000-5A00-000004000000}" name="Level 3 and above (number)"/>
    <tableColumn id="5" xr3:uid="{00000000-0010-0000-5A00-000005000000}" name="Level 3 and above (percentage)"/>
    <tableColumn id="6" xr3:uid="{00000000-0010-0000-5A00-000006000000}" name="Small Sample Size Cells"/>
  </tableColumns>
  <tableStyleInfo name="none" showFirstColumn="0" showLastColumn="0" showRowStripes="0"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5B000000}" name="disabled_4.1f" displayName="disabled_4.1f" ref="A62:F70" totalsRowShown="0">
  <tableColumns count="6">
    <tableColumn id="1" xr3:uid="{00000000-0010-0000-5B00-000001000000}" name="Year"/>
    <tableColumn id="2" xr3:uid="{00000000-0010-0000-5B00-000002000000}" name="Level 2 and above (number)"/>
    <tableColumn id="3" xr3:uid="{00000000-0010-0000-5B00-000003000000}" name="Level 2 and above (percentage)"/>
    <tableColumn id="4" xr3:uid="{00000000-0010-0000-5B00-000004000000}" name="Level 3 and above (number)"/>
    <tableColumn id="5" xr3:uid="{00000000-0010-0000-5B00-000005000000}" name="Level 3 and above (percentage)"/>
    <tableColumn id="6" xr3:uid="{00000000-0010-0000-5B00-000006000000}" name="Small Sample Size Cells"/>
  </tableColumns>
  <tableStyleInfo name="none" showFirstColumn="0" showLastColumn="0" showRowStripes="0"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5C000000}" name="disabled_4.1g" displayName="disabled_4.1g" ref="A73:F81" totalsRowShown="0">
  <tableColumns count="6">
    <tableColumn id="1" xr3:uid="{00000000-0010-0000-5C00-000001000000}" name="Year"/>
    <tableColumn id="2" xr3:uid="{00000000-0010-0000-5C00-000002000000}" name="Level 2 and above (number)"/>
    <tableColumn id="3" xr3:uid="{00000000-0010-0000-5C00-000003000000}" name="Level 2 and above (percentage)"/>
    <tableColumn id="4" xr3:uid="{00000000-0010-0000-5C00-000004000000}" name="Level 3 and above (number)"/>
    <tableColumn id="5" xr3:uid="{00000000-0010-0000-5C00-000005000000}" name="Level 3 and above (percentage)"/>
    <tableColumn id="6" xr3:uid="{00000000-0010-0000-5C00-000006000000}" name="Small Sample Size Cells"/>
  </tableColumns>
  <tableStyleInfo name="none" showFirstColumn="0" showLastColumn="0" showRowStripes="0"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5D000000}" name="disabled_4.1h" displayName="disabled_4.1h" ref="A84:F92" totalsRowShown="0">
  <tableColumns count="6">
    <tableColumn id="1" xr3:uid="{00000000-0010-0000-5D00-000001000000}" name="Year"/>
    <tableColumn id="2" xr3:uid="{00000000-0010-0000-5D00-000002000000}" name="Level 2 and above (number)"/>
    <tableColumn id="3" xr3:uid="{00000000-0010-0000-5D00-000003000000}" name="Level 2 and above (percentage)"/>
    <tableColumn id="4" xr3:uid="{00000000-0010-0000-5D00-000004000000}" name="Level 3 and above (number)"/>
    <tableColumn id="5" xr3:uid="{00000000-0010-0000-5D00-000005000000}" name="Level 3 and above (percentage)"/>
    <tableColumn id="6" xr3:uid="{00000000-0010-0000-5D00-000006000000}" name="Small Sample Size Cells"/>
  </tableColumns>
  <tableStyleInfo name="none" showFirstColumn="0" showLastColumn="0" showRowStripes="0"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5E000000}" name="disabled_4.1i" displayName="disabled_4.1i" ref="A95:F103" totalsRowShown="0">
  <tableColumns count="6">
    <tableColumn id="1" xr3:uid="{00000000-0010-0000-5E00-000001000000}" name="Year"/>
    <tableColumn id="2" xr3:uid="{00000000-0010-0000-5E00-000002000000}" name="Level 2 and above (number)"/>
    <tableColumn id="3" xr3:uid="{00000000-0010-0000-5E00-000003000000}" name="Level 2 and above (percentage)"/>
    <tableColumn id="4" xr3:uid="{00000000-0010-0000-5E00-000004000000}" name="Level 3 and above (number)"/>
    <tableColumn id="5" xr3:uid="{00000000-0010-0000-5E00-000005000000}" name="Level 3 and above (percentage)"/>
    <tableColumn id="6" xr3:uid="{00000000-0010-0000-5E00-000006000000}" name="Small Sample Size Cells"/>
  </tableColumns>
  <tableStyleInfo name="none" showFirstColumn="0" showLastColumn="0" showRowStripes="0"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5F000000}" name="disabled_4.1j" displayName="disabled_4.1j" ref="A106:F114" totalsRowShown="0">
  <tableColumns count="6">
    <tableColumn id="1" xr3:uid="{00000000-0010-0000-5F00-000001000000}" name="Year"/>
    <tableColumn id="2" xr3:uid="{00000000-0010-0000-5F00-000002000000}" name="Level 2 and above (number)"/>
    <tableColumn id="3" xr3:uid="{00000000-0010-0000-5F00-000003000000}" name="Level 2 and above (percentage)"/>
    <tableColumn id="4" xr3:uid="{00000000-0010-0000-5F00-000004000000}" name="Level 3 and above (number)"/>
    <tableColumn id="5" xr3:uid="{00000000-0010-0000-5F00-000005000000}" name="Level 3 and above (percentage)"/>
    <tableColumn id="6" xr3:uid="{00000000-0010-0000-5F00-000006000000}" name="Small Sample Size Cells"/>
  </tableColumns>
  <tableStyleInfo name="none" showFirstColumn="0" showLastColumn="0" showRowStripes="0"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0000000}" name="disabled_4.1k" displayName="disabled_4.1k" ref="A117:F125" totalsRowShown="0">
  <tableColumns count="6">
    <tableColumn id="1" xr3:uid="{00000000-0010-0000-6000-000001000000}" name="Year"/>
    <tableColumn id="2" xr3:uid="{00000000-0010-0000-6000-000002000000}" name="Level 2 and above (number)"/>
    <tableColumn id="3" xr3:uid="{00000000-0010-0000-6000-000003000000}" name="Level 2 and above (percentage)"/>
    <tableColumn id="4" xr3:uid="{00000000-0010-0000-6000-000004000000}" name="Level 3 and above (number)"/>
    <tableColumn id="5" xr3:uid="{00000000-0010-0000-6000-000005000000}" name="Level 3 and above (percentage)"/>
    <tableColumn id="6" xr3:uid="{00000000-0010-0000-6000-000006000000}" name="Small Sample Size Cells"/>
  </tableColumns>
  <tableStyleInfo name="none" showFirstColumn="0" showLastColumn="0" showRowStripes="0"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1000000}" name="disabled_4.1l" displayName="disabled_4.1l" ref="A128:F136" totalsRowShown="0">
  <tableColumns count="6">
    <tableColumn id="1" xr3:uid="{00000000-0010-0000-6100-000001000000}" name="Year"/>
    <tableColumn id="2" xr3:uid="{00000000-0010-0000-6100-000002000000}" name="Level 2 and above (number)"/>
    <tableColumn id="3" xr3:uid="{00000000-0010-0000-6100-000003000000}" name="Level 2 and above (percentage)"/>
    <tableColumn id="4" xr3:uid="{00000000-0010-0000-6100-000004000000}" name="Level 3 and above (number)"/>
    <tableColumn id="5" xr3:uid="{00000000-0010-0000-6100-000005000000}" name="Level 3 and above (percentage)"/>
    <tableColumn id="6" xr3:uid="{00000000-0010-0000-6100-000006000000}" name="Small Sample Size Cells"/>
  </tableColumns>
  <tableStyleInfo name="none" showFirstColumn="0" showLastColumn="0" showRowStripes="0"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2000000}" name="not_disabled_4.2a" displayName="not_disabled_4.2a" ref="A7:F15" totalsRowShown="0">
  <tableColumns count="6">
    <tableColumn id="1" xr3:uid="{00000000-0010-0000-6200-000001000000}" name="Year"/>
    <tableColumn id="2" xr3:uid="{00000000-0010-0000-6200-000002000000}" name="Level 2 and above (number)"/>
    <tableColumn id="3" xr3:uid="{00000000-0010-0000-6200-000003000000}" name="Level 2 and above (percentage)"/>
    <tableColumn id="4" xr3:uid="{00000000-0010-0000-6200-000004000000}" name="Level 3 and above (number)"/>
    <tableColumn id="5" xr3:uid="{00000000-0010-0000-6200-000005000000}" name="Level 3 and above (percentage)"/>
    <tableColumn id="6" xr3:uid="{00000000-0010-0000-6200-000006000000}" name="Small Sample Size Cells"/>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ns.gov.uk/employmentandlabourmarket/peopleinwork/employmentandemployeetypes/methodologies/aguidetolabourmarketstatistics" TargetMode="External"/><Relationship Id="rId3" Type="http://schemas.openxmlformats.org/officeDocument/2006/relationships/hyperlink" Target="https://www.ons.gov.uk/employmentandlabourmarket/peopleinwork/employmentandemployeetypes/articles/impactofreweightingonlabourforcesurveykeyindicators/2022" TargetMode="External"/><Relationship Id="rId7" Type="http://schemas.openxmlformats.org/officeDocument/2006/relationships/hyperlink" Target="https://www.ons.gov.uk/employmentandlabourmarket/peopleinwork/employmentandemployeetypes/methodologies/labourforcesurveylfsqmi" TargetMode="External"/><Relationship Id="rId2" Type="http://schemas.openxmlformats.org/officeDocument/2006/relationships/hyperlink" Target="https://www.nisra.gov.uk/publications/background-information-lfs" TargetMode="External"/><Relationship Id="rId1" Type="http://schemas.openxmlformats.org/officeDocument/2006/relationships/hyperlink" Target="mailto:lfs@finance-ni.gov.uk" TargetMode="External"/><Relationship Id="rId6" Type="http://schemas.openxmlformats.org/officeDocument/2006/relationships/hyperlink" Target="https://www.ons.gov.uk/employmentandlabourmarket/" TargetMode="External"/><Relationship Id="rId5" Type="http://schemas.openxmlformats.org/officeDocument/2006/relationships/hyperlink" Target="https://www.nisra.gov.uk/statistics/labour-market-and-social-welfare/labour-market-overview" TargetMode="External"/><Relationship Id="rId4" Type="http://schemas.openxmlformats.org/officeDocument/2006/relationships/hyperlink" Target="https://www.ons.gov.uk/methodology/methodologytopicsandstatisticalconcepts/revisions/revisionspoliciesforlabourmarketstatistics" TargetMode="External"/><Relationship Id="rId9" Type="http://schemas.openxmlformats.org/officeDocument/2006/relationships/hyperlink" Target="https://www.ons.gov.uk/employmentandlabourmarket/peopleinwork/employmentandemployeetypes/methodologies/aguidetolabourmarketstatistics"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82.xml"/><Relationship Id="rId3" Type="http://schemas.openxmlformats.org/officeDocument/2006/relationships/table" Target="../tables/table77.xml"/><Relationship Id="rId7" Type="http://schemas.openxmlformats.org/officeDocument/2006/relationships/table" Target="../tables/table81.xml"/><Relationship Id="rId12" Type="http://schemas.openxmlformats.org/officeDocument/2006/relationships/table" Target="../tables/table86.xml"/><Relationship Id="rId2" Type="http://schemas.openxmlformats.org/officeDocument/2006/relationships/table" Target="../tables/table76.xml"/><Relationship Id="rId1" Type="http://schemas.openxmlformats.org/officeDocument/2006/relationships/table" Target="../tables/table75.xml"/><Relationship Id="rId6" Type="http://schemas.openxmlformats.org/officeDocument/2006/relationships/table" Target="../tables/table80.xml"/><Relationship Id="rId11" Type="http://schemas.openxmlformats.org/officeDocument/2006/relationships/table" Target="../tables/table85.xml"/><Relationship Id="rId5" Type="http://schemas.openxmlformats.org/officeDocument/2006/relationships/table" Target="../tables/table79.xml"/><Relationship Id="rId10" Type="http://schemas.openxmlformats.org/officeDocument/2006/relationships/table" Target="../tables/table84.xml"/><Relationship Id="rId4" Type="http://schemas.openxmlformats.org/officeDocument/2006/relationships/table" Target="../tables/table78.xml"/><Relationship Id="rId9" Type="http://schemas.openxmlformats.org/officeDocument/2006/relationships/table" Target="../tables/table83.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94.xml"/><Relationship Id="rId3" Type="http://schemas.openxmlformats.org/officeDocument/2006/relationships/table" Target="../tables/table89.xml"/><Relationship Id="rId7" Type="http://schemas.openxmlformats.org/officeDocument/2006/relationships/table" Target="../tables/table93.xml"/><Relationship Id="rId12" Type="http://schemas.openxmlformats.org/officeDocument/2006/relationships/table" Target="../tables/table98.xml"/><Relationship Id="rId2" Type="http://schemas.openxmlformats.org/officeDocument/2006/relationships/table" Target="../tables/table88.xml"/><Relationship Id="rId1" Type="http://schemas.openxmlformats.org/officeDocument/2006/relationships/table" Target="../tables/table87.xml"/><Relationship Id="rId6" Type="http://schemas.openxmlformats.org/officeDocument/2006/relationships/table" Target="../tables/table92.xml"/><Relationship Id="rId11" Type="http://schemas.openxmlformats.org/officeDocument/2006/relationships/table" Target="../tables/table97.xml"/><Relationship Id="rId5" Type="http://schemas.openxmlformats.org/officeDocument/2006/relationships/table" Target="../tables/table91.xml"/><Relationship Id="rId10" Type="http://schemas.openxmlformats.org/officeDocument/2006/relationships/table" Target="../tables/table96.xml"/><Relationship Id="rId4" Type="http://schemas.openxmlformats.org/officeDocument/2006/relationships/table" Target="../tables/table90.xml"/><Relationship Id="rId9" Type="http://schemas.openxmlformats.org/officeDocument/2006/relationships/table" Target="../tables/table95.xml"/></Relationships>
</file>

<file path=xl/worksheets/_rels/sheet12.xml.rels><?xml version="1.0" encoding="UTF-8" standalone="yes"?>
<Relationships xmlns="http://schemas.openxmlformats.org/package/2006/relationships"><Relationship Id="rId8" Type="http://schemas.openxmlformats.org/officeDocument/2006/relationships/table" Target="../tables/table106.xml"/><Relationship Id="rId3" Type="http://schemas.openxmlformats.org/officeDocument/2006/relationships/table" Target="../tables/table101.xml"/><Relationship Id="rId7" Type="http://schemas.openxmlformats.org/officeDocument/2006/relationships/table" Target="../tables/table105.xml"/><Relationship Id="rId12" Type="http://schemas.openxmlformats.org/officeDocument/2006/relationships/table" Target="../tables/table110.xml"/><Relationship Id="rId2" Type="http://schemas.openxmlformats.org/officeDocument/2006/relationships/table" Target="../tables/table100.xml"/><Relationship Id="rId1" Type="http://schemas.openxmlformats.org/officeDocument/2006/relationships/table" Target="../tables/table99.xml"/><Relationship Id="rId6" Type="http://schemas.openxmlformats.org/officeDocument/2006/relationships/table" Target="../tables/table104.xml"/><Relationship Id="rId11" Type="http://schemas.openxmlformats.org/officeDocument/2006/relationships/table" Target="../tables/table109.xml"/><Relationship Id="rId5" Type="http://schemas.openxmlformats.org/officeDocument/2006/relationships/table" Target="../tables/table103.xml"/><Relationship Id="rId10" Type="http://schemas.openxmlformats.org/officeDocument/2006/relationships/table" Target="../tables/table108.xml"/><Relationship Id="rId4" Type="http://schemas.openxmlformats.org/officeDocument/2006/relationships/table" Target="../tables/table102.xml"/><Relationship Id="rId9" Type="http://schemas.openxmlformats.org/officeDocument/2006/relationships/table" Target="../tables/table107.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12.xml"/><Relationship Id="rId1" Type="http://schemas.openxmlformats.org/officeDocument/2006/relationships/table" Target="../tables/table11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12" Type="http://schemas.openxmlformats.org/officeDocument/2006/relationships/table" Target="../tables/table14.xml"/><Relationship Id="rId2" Type="http://schemas.openxmlformats.org/officeDocument/2006/relationships/table" Target="../tables/table4.xml"/><Relationship Id="rId1" Type="http://schemas.openxmlformats.org/officeDocument/2006/relationships/table" Target="../tables/table3.xml"/><Relationship Id="rId6" Type="http://schemas.openxmlformats.org/officeDocument/2006/relationships/table" Target="../tables/table8.xml"/><Relationship Id="rId11" Type="http://schemas.openxmlformats.org/officeDocument/2006/relationships/table" Target="../tables/table13.xml"/><Relationship Id="rId5" Type="http://schemas.openxmlformats.org/officeDocument/2006/relationships/table" Target="../tables/table7.xml"/><Relationship Id="rId10" Type="http://schemas.openxmlformats.org/officeDocument/2006/relationships/table" Target="../tables/table12.xml"/><Relationship Id="rId4" Type="http://schemas.openxmlformats.org/officeDocument/2006/relationships/table" Target="../tables/table6.xml"/><Relationship Id="rId9" Type="http://schemas.openxmlformats.org/officeDocument/2006/relationships/table" Target="../tables/table11.xml"/></Relationships>
</file>

<file path=xl/worksheets/_rels/sheet5.xml.rels><?xml version="1.0" encoding="UTF-8" standalone="yes"?>
<Relationships xmlns="http://schemas.openxmlformats.org/package/2006/relationships"><Relationship Id="rId8" Type="http://schemas.openxmlformats.org/officeDocument/2006/relationships/table" Target="../tables/table22.xml"/><Relationship Id="rId3" Type="http://schemas.openxmlformats.org/officeDocument/2006/relationships/table" Target="../tables/table17.xml"/><Relationship Id="rId7" Type="http://schemas.openxmlformats.org/officeDocument/2006/relationships/table" Target="../tables/table21.xml"/><Relationship Id="rId12" Type="http://schemas.openxmlformats.org/officeDocument/2006/relationships/table" Target="../tables/table26.xml"/><Relationship Id="rId2" Type="http://schemas.openxmlformats.org/officeDocument/2006/relationships/table" Target="../tables/table16.xml"/><Relationship Id="rId1" Type="http://schemas.openxmlformats.org/officeDocument/2006/relationships/table" Target="../tables/table15.xml"/><Relationship Id="rId6" Type="http://schemas.openxmlformats.org/officeDocument/2006/relationships/table" Target="../tables/table20.xml"/><Relationship Id="rId11" Type="http://schemas.openxmlformats.org/officeDocument/2006/relationships/table" Target="../tables/table25.xml"/><Relationship Id="rId5" Type="http://schemas.openxmlformats.org/officeDocument/2006/relationships/table" Target="../tables/table19.xml"/><Relationship Id="rId10" Type="http://schemas.openxmlformats.org/officeDocument/2006/relationships/table" Target="../tables/table24.xml"/><Relationship Id="rId4" Type="http://schemas.openxmlformats.org/officeDocument/2006/relationships/table" Target="../tables/table18.xml"/><Relationship Id="rId9" Type="http://schemas.openxmlformats.org/officeDocument/2006/relationships/table" Target="../tables/table23.xml"/></Relationships>
</file>

<file path=xl/worksheets/_rels/sheet6.xml.rels><?xml version="1.0" encoding="UTF-8" standalone="yes"?>
<Relationships xmlns="http://schemas.openxmlformats.org/package/2006/relationships"><Relationship Id="rId8" Type="http://schemas.openxmlformats.org/officeDocument/2006/relationships/table" Target="../tables/table34.xml"/><Relationship Id="rId3" Type="http://schemas.openxmlformats.org/officeDocument/2006/relationships/table" Target="../tables/table29.xml"/><Relationship Id="rId7" Type="http://schemas.openxmlformats.org/officeDocument/2006/relationships/table" Target="../tables/table33.xml"/><Relationship Id="rId12" Type="http://schemas.openxmlformats.org/officeDocument/2006/relationships/table" Target="../tables/table38.xml"/><Relationship Id="rId2" Type="http://schemas.openxmlformats.org/officeDocument/2006/relationships/table" Target="../tables/table28.xml"/><Relationship Id="rId1" Type="http://schemas.openxmlformats.org/officeDocument/2006/relationships/table" Target="../tables/table27.xml"/><Relationship Id="rId6" Type="http://schemas.openxmlformats.org/officeDocument/2006/relationships/table" Target="../tables/table32.xml"/><Relationship Id="rId11" Type="http://schemas.openxmlformats.org/officeDocument/2006/relationships/table" Target="../tables/table37.xml"/><Relationship Id="rId5" Type="http://schemas.openxmlformats.org/officeDocument/2006/relationships/table" Target="../tables/table31.xml"/><Relationship Id="rId10" Type="http://schemas.openxmlformats.org/officeDocument/2006/relationships/table" Target="../tables/table36.xml"/><Relationship Id="rId4" Type="http://schemas.openxmlformats.org/officeDocument/2006/relationships/table" Target="../tables/table30.xml"/><Relationship Id="rId9" Type="http://schemas.openxmlformats.org/officeDocument/2006/relationships/table" Target="../tables/table35.xml"/></Relationships>
</file>

<file path=xl/worksheets/_rels/sheet7.xml.rels><?xml version="1.0" encoding="UTF-8" standalone="yes"?>
<Relationships xmlns="http://schemas.openxmlformats.org/package/2006/relationships"><Relationship Id="rId8" Type="http://schemas.openxmlformats.org/officeDocument/2006/relationships/table" Target="../tables/table46.xml"/><Relationship Id="rId3" Type="http://schemas.openxmlformats.org/officeDocument/2006/relationships/table" Target="../tables/table41.xml"/><Relationship Id="rId7" Type="http://schemas.openxmlformats.org/officeDocument/2006/relationships/table" Target="../tables/table45.xml"/><Relationship Id="rId12" Type="http://schemas.openxmlformats.org/officeDocument/2006/relationships/table" Target="../tables/table50.xml"/><Relationship Id="rId2" Type="http://schemas.openxmlformats.org/officeDocument/2006/relationships/table" Target="../tables/table40.xml"/><Relationship Id="rId1" Type="http://schemas.openxmlformats.org/officeDocument/2006/relationships/table" Target="../tables/table39.xml"/><Relationship Id="rId6" Type="http://schemas.openxmlformats.org/officeDocument/2006/relationships/table" Target="../tables/table44.xml"/><Relationship Id="rId11" Type="http://schemas.openxmlformats.org/officeDocument/2006/relationships/table" Target="../tables/table49.xml"/><Relationship Id="rId5" Type="http://schemas.openxmlformats.org/officeDocument/2006/relationships/table" Target="../tables/table43.xml"/><Relationship Id="rId10" Type="http://schemas.openxmlformats.org/officeDocument/2006/relationships/table" Target="../tables/table48.xml"/><Relationship Id="rId4" Type="http://schemas.openxmlformats.org/officeDocument/2006/relationships/table" Target="../tables/table42.xml"/><Relationship Id="rId9" Type="http://schemas.openxmlformats.org/officeDocument/2006/relationships/table" Target="../tables/table47.xml"/></Relationships>
</file>

<file path=xl/worksheets/_rels/sheet8.xml.rels><?xml version="1.0" encoding="UTF-8" standalone="yes"?>
<Relationships xmlns="http://schemas.openxmlformats.org/package/2006/relationships"><Relationship Id="rId8" Type="http://schemas.openxmlformats.org/officeDocument/2006/relationships/table" Target="../tables/table58.xml"/><Relationship Id="rId3" Type="http://schemas.openxmlformats.org/officeDocument/2006/relationships/table" Target="../tables/table53.xml"/><Relationship Id="rId7" Type="http://schemas.openxmlformats.org/officeDocument/2006/relationships/table" Target="../tables/table57.xml"/><Relationship Id="rId12" Type="http://schemas.openxmlformats.org/officeDocument/2006/relationships/table" Target="../tables/table62.xml"/><Relationship Id="rId2" Type="http://schemas.openxmlformats.org/officeDocument/2006/relationships/table" Target="../tables/table52.xml"/><Relationship Id="rId1" Type="http://schemas.openxmlformats.org/officeDocument/2006/relationships/table" Target="../tables/table51.xml"/><Relationship Id="rId6" Type="http://schemas.openxmlformats.org/officeDocument/2006/relationships/table" Target="../tables/table56.xml"/><Relationship Id="rId11" Type="http://schemas.openxmlformats.org/officeDocument/2006/relationships/table" Target="../tables/table61.xml"/><Relationship Id="rId5" Type="http://schemas.openxmlformats.org/officeDocument/2006/relationships/table" Target="../tables/table55.xml"/><Relationship Id="rId10" Type="http://schemas.openxmlformats.org/officeDocument/2006/relationships/table" Target="../tables/table60.xml"/><Relationship Id="rId4" Type="http://schemas.openxmlformats.org/officeDocument/2006/relationships/table" Target="../tables/table54.xml"/><Relationship Id="rId9" Type="http://schemas.openxmlformats.org/officeDocument/2006/relationships/table" Target="../tables/table59.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0.xml"/><Relationship Id="rId3" Type="http://schemas.openxmlformats.org/officeDocument/2006/relationships/table" Target="../tables/table65.xml"/><Relationship Id="rId7" Type="http://schemas.openxmlformats.org/officeDocument/2006/relationships/table" Target="../tables/table69.xml"/><Relationship Id="rId12" Type="http://schemas.openxmlformats.org/officeDocument/2006/relationships/table" Target="../tables/table74.xml"/><Relationship Id="rId2" Type="http://schemas.openxmlformats.org/officeDocument/2006/relationships/table" Target="../tables/table64.xml"/><Relationship Id="rId1" Type="http://schemas.openxmlformats.org/officeDocument/2006/relationships/table" Target="../tables/table63.xml"/><Relationship Id="rId6" Type="http://schemas.openxmlformats.org/officeDocument/2006/relationships/table" Target="../tables/table68.xml"/><Relationship Id="rId11" Type="http://schemas.openxmlformats.org/officeDocument/2006/relationships/table" Target="../tables/table73.xml"/><Relationship Id="rId5" Type="http://schemas.openxmlformats.org/officeDocument/2006/relationships/table" Target="../tables/table67.xml"/><Relationship Id="rId10" Type="http://schemas.openxmlformats.org/officeDocument/2006/relationships/table" Target="../tables/table72.xml"/><Relationship Id="rId4" Type="http://schemas.openxmlformats.org/officeDocument/2006/relationships/table" Target="../tables/table66.xml"/><Relationship Id="rId9" Type="http://schemas.openxmlformats.org/officeDocument/2006/relationships/table" Target="../tables/table7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7"/>
  <sheetViews>
    <sheetView tabSelected="1" workbookViewId="0"/>
  </sheetViews>
  <sheetFormatPr defaultColWidth="10.88671875" defaultRowHeight="15" x14ac:dyDescent="0.2"/>
  <cols>
    <col min="1" max="1" width="110.77734375" customWidth="1"/>
  </cols>
  <sheetData>
    <row r="1" spans="1:1" ht="19.5" x14ac:dyDescent="0.3">
      <c r="A1" s="2" t="s">
        <v>0</v>
      </c>
    </row>
    <row r="2" spans="1:1" x14ac:dyDescent="0.2">
      <c r="A2" s="4" t="s">
        <v>1</v>
      </c>
    </row>
    <row r="3" spans="1:1" ht="15.75" x14ac:dyDescent="0.25">
      <c r="A3" s="3" t="s">
        <v>2</v>
      </c>
    </row>
    <row r="4" spans="1:1" ht="60" x14ac:dyDescent="0.2">
      <c r="A4" s="4" t="s">
        <v>3</v>
      </c>
    </row>
    <row r="5" spans="1:1" ht="120" x14ac:dyDescent="0.2">
      <c r="A5" s="4" t="s">
        <v>4</v>
      </c>
    </row>
    <row r="6" spans="1:1" ht="60" x14ac:dyDescent="0.2">
      <c r="A6" s="4" t="s">
        <v>5</v>
      </c>
    </row>
    <row r="7" spans="1:1" ht="30" x14ac:dyDescent="0.2">
      <c r="A7" s="4" t="s">
        <v>6</v>
      </c>
    </row>
    <row r="8" spans="1:1" ht="15.75" x14ac:dyDescent="0.25">
      <c r="A8" s="3" t="s">
        <v>7</v>
      </c>
    </row>
    <row r="9" spans="1:1" x14ac:dyDescent="0.2">
      <c r="A9" t="s">
        <v>8</v>
      </c>
    </row>
    <row r="10" spans="1:1" ht="15.75" x14ac:dyDescent="0.25">
      <c r="A10" s="3" t="s">
        <v>9</v>
      </c>
    </row>
    <row r="11" spans="1:1" ht="225" x14ac:dyDescent="0.2">
      <c r="A11" s="4" t="s">
        <v>10</v>
      </c>
    </row>
    <row r="12" spans="1:1" ht="15.75" x14ac:dyDescent="0.25">
      <c r="A12" s="3" t="s">
        <v>11</v>
      </c>
    </row>
    <row r="13" spans="1:1" ht="165" x14ac:dyDescent="0.2">
      <c r="A13" s="4" t="s">
        <v>12</v>
      </c>
    </row>
    <row r="14" spans="1:1" x14ac:dyDescent="0.2">
      <c r="A14" s="1" t="s">
        <v>13</v>
      </c>
    </row>
    <row r="15" spans="1:1" x14ac:dyDescent="0.2">
      <c r="A15" s="1" t="s">
        <v>14</v>
      </c>
    </row>
    <row r="16" spans="1:1" x14ac:dyDescent="0.2">
      <c r="A16" t="s">
        <v>15</v>
      </c>
    </row>
    <row r="17" spans="1:1" x14ac:dyDescent="0.2">
      <c r="A17" s="1" t="s">
        <v>16</v>
      </c>
    </row>
    <row r="18" spans="1:1" ht="15.75" x14ac:dyDescent="0.25">
      <c r="A18" s="3" t="s">
        <v>17</v>
      </c>
    </row>
    <row r="19" spans="1:1" x14ac:dyDescent="0.2">
      <c r="A19" s="1" t="s">
        <v>18</v>
      </c>
    </row>
    <row r="20" spans="1:1" ht="15.75" x14ac:dyDescent="0.25">
      <c r="A20" s="3" t="s">
        <v>19</v>
      </c>
    </row>
    <row r="21" spans="1:1" x14ac:dyDescent="0.2">
      <c r="A21" s="1" t="s">
        <v>20</v>
      </c>
    </row>
    <row r="22" spans="1:1" x14ac:dyDescent="0.2">
      <c r="A22" t="s">
        <v>21</v>
      </c>
    </row>
    <row r="23" spans="1:1" x14ac:dyDescent="0.2">
      <c r="A23" s="1" t="s">
        <v>22</v>
      </c>
    </row>
    <row r="24" spans="1:1" x14ac:dyDescent="0.2">
      <c r="A24" s="1" t="s">
        <v>23</v>
      </c>
    </row>
    <row r="25" spans="1:1" x14ac:dyDescent="0.2">
      <c r="A25" s="1" t="s">
        <v>24</v>
      </c>
    </row>
    <row r="26" spans="1:1" x14ac:dyDescent="0.2">
      <c r="A26" t="s">
        <v>25</v>
      </c>
    </row>
    <row r="27" spans="1:1" x14ac:dyDescent="0.2">
      <c r="A27" s="1" t="s">
        <v>26</v>
      </c>
    </row>
  </sheetData>
  <hyperlinks>
    <hyperlink ref="A27" r:id="rId1" xr:uid="{00000000-0004-0000-0000-000000000000}"/>
    <hyperlink ref="A14" r:id="rId2" xr:uid="{00000000-0004-0000-0000-000001000000}"/>
    <hyperlink ref="A15" r:id="rId3" xr:uid="{00000000-0004-0000-0000-000002000000}"/>
    <hyperlink ref="A17" r:id="rId4" xr:uid="{00000000-0004-0000-0000-000003000000}"/>
    <hyperlink ref="A19" r:id="rId5" xr:uid="{00000000-0004-0000-0000-000004000000}"/>
    <hyperlink ref="A21" r:id="rId6" xr:uid="{00000000-0004-0000-0000-000005000000}"/>
    <hyperlink ref="A23" r:id="rId7" xr:uid="{00000000-0004-0000-0000-000006000000}"/>
    <hyperlink ref="A24" r:id="rId8" xr:uid="{00000000-0004-0000-0000-000007000000}"/>
    <hyperlink ref="A25" r:id="rId9" location="glossary" xr:uid="{00000000-0004-0000-0000-000008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37"/>
  <sheetViews>
    <sheetView workbookViewId="0"/>
  </sheetViews>
  <sheetFormatPr defaultColWidth="10.88671875" defaultRowHeight="15" x14ac:dyDescent="0.2"/>
  <cols>
    <col min="1" max="5" width="18.77734375" customWidth="1"/>
    <col min="6" max="6" width="50.77734375" customWidth="1"/>
  </cols>
  <sheetData>
    <row r="1" spans="1:6" ht="19.5" x14ac:dyDescent="0.3">
      <c r="A1" s="2" t="s">
        <v>240</v>
      </c>
    </row>
    <row r="2" spans="1:6" x14ac:dyDescent="0.2">
      <c r="A2" t="s">
        <v>162</v>
      </c>
    </row>
    <row r="3" spans="1:6" x14ac:dyDescent="0.2">
      <c r="A3" t="s">
        <v>163</v>
      </c>
    </row>
    <row r="4" spans="1:6" x14ac:dyDescent="0.2">
      <c r="A4" t="s">
        <v>164</v>
      </c>
    </row>
    <row r="5" spans="1:6" x14ac:dyDescent="0.2">
      <c r="A5" t="s">
        <v>165</v>
      </c>
    </row>
    <row r="6" spans="1:6" ht="15.75" x14ac:dyDescent="0.25">
      <c r="A6" s="3" t="s">
        <v>241</v>
      </c>
    </row>
    <row r="7" spans="1:6" ht="31.5" x14ac:dyDescent="0.25">
      <c r="A7" s="5" t="s">
        <v>167</v>
      </c>
      <c r="B7" s="6" t="s">
        <v>168</v>
      </c>
      <c r="C7" s="6" t="s">
        <v>169</v>
      </c>
      <c r="D7" s="6" t="s">
        <v>170</v>
      </c>
      <c r="E7" s="6" t="s">
        <v>171</v>
      </c>
      <c r="F7" s="6" t="s">
        <v>172</v>
      </c>
    </row>
    <row r="8" spans="1:6" x14ac:dyDescent="0.2">
      <c r="A8" s="9">
        <v>2016</v>
      </c>
      <c r="B8" s="7">
        <v>206000</v>
      </c>
      <c r="C8" s="8">
        <v>62.7</v>
      </c>
      <c r="D8" s="7">
        <v>138000</v>
      </c>
      <c r="E8" s="8">
        <v>42</v>
      </c>
      <c r="F8" s="7"/>
    </row>
    <row r="9" spans="1:6" x14ac:dyDescent="0.2">
      <c r="A9" s="9">
        <v>2017</v>
      </c>
      <c r="B9" s="7">
        <v>207000</v>
      </c>
      <c r="C9" s="8">
        <v>61.7</v>
      </c>
      <c r="D9" s="7">
        <v>141000</v>
      </c>
      <c r="E9" s="8">
        <v>41.9</v>
      </c>
      <c r="F9" s="7"/>
    </row>
    <row r="10" spans="1:6" x14ac:dyDescent="0.2">
      <c r="A10" s="9">
        <v>2018</v>
      </c>
      <c r="B10" s="7">
        <v>218000</v>
      </c>
      <c r="C10" s="8">
        <v>64.2</v>
      </c>
      <c r="D10" s="7">
        <v>151000</v>
      </c>
      <c r="E10" s="8">
        <v>44.4</v>
      </c>
      <c r="F10" s="7"/>
    </row>
    <row r="11" spans="1:6" x14ac:dyDescent="0.2">
      <c r="A11" s="9">
        <v>2019</v>
      </c>
      <c r="B11" s="7">
        <v>227000</v>
      </c>
      <c r="C11" s="8">
        <v>65.599999999999994</v>
      </c>
      <c r="D11" s="7">
        <v>163000</v>
      </c>
      <c r="E11" s="8">
        <v>47.2</v>
      </c>
      <c r="F11" s="7"/>
    </row>
    <row r="12" spans="1:6" x14ac:dyDescent="0.2">
      <c r="A12" s="9">
        <v>2020</v>
      </c>
      <c r="B12" s="7">
        <v>228000</v>
      </c>
      <c r="C12" s="8">
        <v>65.099999999999994</v>
      </c>
      <c r="D12" s="7">
        <v>161000</v>
      </c>
      <c r="E12" s="8">
        <v>45.9</v>
      </c>
      <c r="F12" s="7"/>
    </row>
    <row r="13" spans="1:6" x14ac:dyDescent="0.2">
      <c r="A13" s="9">
        <v>2021</v>
      </c>
      <c r="B13" s="7">
        <v>244000</v>
      </c>
      <c r="C13" s="8">
        <v>68.8</v>
      </c>
      <c r="D13" s="7">
        <v>177000</v>
      </c>
      <c r="E13" s="8">
        <v>49.9</v>
      </c>
      <c r="F13" s="7"/>
    </row>
    <row r="14" spans="1:6" x14ac:dyDescent="0.2">
      <c r="A14" s="9">
        <v>2022</v>
      </c>
      <c r="B14" s="7">
        <v>238000</v>
      </c>
      <c r="C14" s="8">
        <v>67</v>
      </c>
      <c r="D14" s="7">
        <v>173000</v>
      </c>
      <c r="E14" s="8">
        <v>48.7</v>
      </c>
      <c r="F14" s="7"/>
    </row>
    <row r="15" spans="1:6" x14ac:dyDescent="0.2">
      <c r="A15" s="9">
        <v>2023</v>
      </c>
      <c r="B15" s="7">
        <v>246000</v>
      </c>
      <c r="C15" s="8">
        <v>69</v>
      </c>
      <c r="D15" s="7">
        <v>175000</v>
      </c>
      <c r="E15" s="8">
        <v>49</v>
      </c>
      <c r="F15" s="7"/>
    </row>
    <row r="16" spans="1:6" x14ac:dyDescent="0.2">
      <c r="A16" s="9"/>
      <c r="B16" s="7"/>
      <c r="C16" s="8"/>
      <c r="D16" s="7"/>
      <c r="E16" s="8"/>
      <c r="F16" s="7"/>
    </row>
    <row r="17" spans="1:6" ht="15.75" x14ac:dyDescent="0.25">
      <c r="A17" s="3" t="s">
        <v>242</v>
      </c>
    </row>
    <row r="18" spans="1:6" ht="31.5" x14ac:dyDescent="0.25">
      <c r="A18" s="5" t="s">
        <v>167</v>
      </c>
      <c r="B18" s="6" t="s">
        <v>168</v>
      </c>
      <c r="C18" s="6" t="s">
        <v>169</v>
      </c>
      <c r="D18" s="6" t="s">
        <v>170</v>
      </c>
      <c r="E18" s="6" t="s">
        <v>171</v>
      </c>
      <c r="F18" s="6" t="s">
        <v>172</v>
      </c>
    </row>
    <row r="19" spans="1:6" x14ac:dyDescent="0.2">
      <c r="A19" s="9">
        <v>2016</v>
      </c>
      <c r="B19" s="7">
        <v>14000</v>
      </c>
      <c r="C19" s="8">
        <v>59.3</v>
      </c>
      <c r="D19" s="10">
        <v>9000</v>
      </c>
      <c r="E19" s="11">
        <v>37</v>
      </c>
      <c r="F19" s="7" t="s">
        <v>210</v>
      </c>
    </row>
    <row r="20" spans="1:6" x14ac:dyDescent="0.2">
      <c r="A20" s="9">
        <v>2017</v>
      </c>
      <c r="B20" s="7">
        <v>20000</v>
      </c>
      <c r="C20" s="8">
        <v>64.5</v>
      </c>
      <c r="D20" s="7">
        <v>12000</v>
      </c>
      <c r="E20" s="8">
        <v>39.9</v>
      </c>
      <c r="F20" s="7"/>
    </row>
    <row r="21" spans="1:6" x14ac:dyDescent="0.2">
      <c r="A21" s="9">
        <v>2018</v>
      </c>
      <c r="B21" s="7">
        <v>22000</v>
      </c>
      <c r="C21" s="8">
        <v>72.099999999999994</v>
      </c>
      <c r="D21" s="7">
        <v>14000</v>
      </c>
      <c r="E21" s="8">
        <v>47</v>
      </c>
      <c r="F21" s="7"/>
    </row>
    <row r="22" spans="1:6" x14ac:dyDescent="0.2">
      <c r="A22" s="9">
        <v>2019</v>
      </c>
      <c r="B22" s="7">
        <v>23000</v>
      </c>
      <c r="C22" s="8">
        <v>75.8</v>
      </c>
      <c r="D22" s="7">
        <v>16000</v>
      </c>
      <c r="E22" s="8">
        <v>52.5</v>
      </c>
      <c r="F22" s="7"/>
    </row>
    <row r="23" spans="1:6" x14ac:dyDescent="0.2">
      <c r="A23" s="9">
        <v>2020</v>
      </c>
      <c r="B23" s="7">
        <v>23000</v>
      </c>
      <c r="C23" s="8">
        <v>81.7</v>
      </c>
      <c r="D23" s="7">
        <v>15000</v>
      </c>
      <c r="E23" s="8">
        <v>52.7</v>
      </c>
      <c r="F23" s="7"/>
    </row>
    <row r="24" spans="1:6" x14ac:dyDescent="0.2">
      <c r="A24" s="9">
        <v>2021</v>
      </c>
      <c r="B24" s="7">
        <v>19000</v>
      </c>
      <c r="C24" s="8">
        <v>80.8</v>
      </c>
      <c r="D24" s="7">
        <v>13000</v>
      </c>
      <c r="E24" s="8">
        <v>55.9</v>
      </c>
      <c r="F24" s="7"/>
    </row>
    <row r="25" spans="1:6" x14ac:dyDescent="0.2">
      <c r="A25" s="9">
        <v>2022</v>
      </c>
      <c r="B25" s="7">
        <v>19000</v>
      </c>
      <c r="C25" s="8">
        <v>69.599999999999994</v>
      </c>
      <c r="D25" s="7">
        <v>15000</v>
      </c>
      <c r="E25" s="8">
        <v>54.5</v>
      </c>
      <c r="F25" s="7"/>
    </row>
    <row r="26" spans="1:6" x14ac:dyDescent="0.2">
      <c r="A26" s="9">
        <v>2023</v>
      </c>
      <c r="B26" s="7">
        <v>21000</v>
      </c>
      <c r="C26" s="8">
        <v>78.5</v>
      </c>
      <c r="D26" s="7">
        <v>15000</v>
      </c>
      <c r="E26" s="8">
        <v>53.9</v>
      </c>
      <c r="F26" s="7"/>
    </row>
    <row r="27" spans="1:6" x14ac:dyDescent="0.2">
      <c r="A27" s="9"/>
      <c r="B27" s="7"/>
      <c r="C27" s="8"/>
      <c r="D27" s="7"/>
      <c r="E27" s="8"/>
      <c r="F27" s="7"/>
    </row>
    <row r="28" spans="1:6" ht="15.75" x14ac:dyDescent="0.25">
      <c r="A28" s="3" t="s">
        <v>243</v>
      </c>
    </row>
    <row r="29" spans="1:6" ht="31.5" x14ac:dyDescent="0.25">
      <c r="A29" s="5" t="s">
        <v>167</v>
      </c>
      <c r="B29" s="6" t="s">
        <v>168</v>
      </c>
      <c r="C29" s="6" t="s">
        <v>169</v>
      </c>
      <c r="D29" s="6" t="s">
        <v>170</v>
      </c>
      <c r="E29" s="6" t="s">
        <v>171</v>
      </c>
      <c r="F29" s="6" t="s">
        <v>172</v>
      </c>
    </row>
    <row r="30" spans="1:6" x14ac:dyDescent="0.2">
      <c r="A30" s="9">
        <v>2016</v>
      </c>
      <c r="B30" s="7">
        <v>19000</v>
      </c>
      <c r="C30" s="8">
        <v>64.5</v>
      </c>
      <c r="D30" s="7">
        <v>13000</v>
      </c>
      <c r="E30" s="8">
        <v>44.4</v>
      </c>
      <c r="F30" s="7"/>
    </row>
    <row r="31" spans="1:6" x14ac:dyDescent="0.2">
      <c r="A31" s="9">
        <v>2017</v>
      </c>
      <c r="B31" s="7">
        <v>21000</v>
      </c>
      <c r="C31" s="8">
        <v>62.8</v>
      </c>
      <c r="D31" s="7">
        <v>14000</v>
      </c>
      <c r="E31" s="8">
        <v>42.3</v>
      </c>
      <c r="F31" s="7"/>
    </row>
    <row r="32" spans="1:6" x14ac:dyDescent="0.2">
      <c r="A32" s="9">
        <v>2018</v>
      </c>
      <c r="B32" s="7">
        <v>21000</v>
      </c>
      <c r="C32" s="8">
        <v>70.5</v>
      </c>
      <c r="D32" s="7">
        <v>15000</v>
      </c>
      <c r="E32" s="8">
        <v>51.1</v>
      </c>
      <c r="F32" s="7"/>
    </row>
    <row r="33" spans="1:6" x14ac:dyDescent="0.2">
      <c r="A33" s="9">
        <v>2019</v>
      </c>
      <c r="B33" s="7">
        <v>23000</v>
      </c>
      <c r="C33" s="8">
        <v>78.5</v>
      </c>
      <c r="D33" s="7">
        <v>18000</v>
      </c>
      <c r="E33" s="8">
        <v>60.5</v>
      </c>
      <c r="F33" s="7"/>
    </row>
    <row r="34" spans="1:6" x14ac:dyDescent="0.2">
      <c r="A34" s="9">
        <v>2020</v>
      </c>
      <c r="B34" s="7">
        <v>21000</v>
      </c>
      <c r="C34" s="8">
        <v>78.3</v>
      </c>
      <c r="D34" s="7">
        <v>15000</v>
      </c>
      <c r="E34" s="8">
        <v>55.4</v>
      </c>
      <c r="F34" s="7"/>
    </row>
    <row r="35" spans="1:6" x14ac:dyDescent="0.2">
      <c r="A35" s="9">
        <v>2021</v>
      </c>
      <c r="B35" s="7">
        <v>22000</v>
      </c>
      <c r="C35" s="8">
        <v>72.900000000000006</v>
      </c>
      <c r="D35" s="7">
        <v>16000</v>
      </c>
      <c r="E35" s="8">
        <v>53.2</v>
      </c>
      <c r="F35" s="7"/>
    </row>
    <row r="36" spans="1:6" x14ac:dyDescent="0.2">
      <c r="A36" s="9">
        <v>2022</v>
      </c>
      <c r="B36" s="7">
        <v>25000</v>
      </c>
      <c r="C36" s="8">
        <v>75.599999999999994</v>
      </c>
      <c r="D36" s="7">
        <v>20000</v>
      </c>
      <c r="E36" s="8">
        <v>58.4</v>
      </c>
      <c r="F36" s="7"/>
    </row>
    <row r="37" spans="1:6" x14ac:dyDescent="0.2">
      <c r="A37" s="9">
        <v>2023</v>
      </c>
      <c r="B37" s="7">
        <v>26000</v>
      </c>
      <c r="C37" s="8">
        <v>76.2</v>
      </c>
      <c r="D37" s="7">
        <v>21000</v>
      </c>
      <c r="E37" s="8">
        <v>59.9</v>
      </c>
      <c r="F37" s="7"/>
    </row>
    <row r="38" spans="1:6" x14ac:dyDescent="0.2">
      <c r="A38" s="9"/>
      <c r="B38" s="7"/>
      <c r="C38" s="8"/>
      <c r="D38" s="7"/>
      <c r="E38" s="8"/>
      <c r="F38" s="7"/>
    </row>
    <row r="39" spans="1:6" ht="15.75" x14ac:dyDescent="0.25">
      <c r="A39" s="3" t="s">
        <v>244</v>
      </c>
    </row>
    <row r="40" spans="1:6" ht="31.5" x14ac:dyDescent="0.25">
      <c r="A40" s="5" t="s">
        <v>167</v>
      </c>
      <c r="B40" s="6" t="s">
        <v>168</v>
      </c>
      <c r="C40" s="6" t="s">
        <v>169</v>
      </c>
      <c r="D40" s="6" t="s">
        <v>170</v>
      </c>
      <c r="E40" s="6" t="s">
        <v>171</v>
      </c>
      <c r="F40" s="6" t="s">
        <v>172</v>
      </c>
    </row>
    <row r="41" spans="1:6" x14ac:dyDescent="0.2">
      <c r="A41" s="9">
        <v>2016</v>
      </c>
      <c r="B41" s="7">
        <v>24000</v>
      </c>
      <c r="C41" s="8">
        <v>66.2</v>
      </c>
      <c r="D41" s="7">
        <v>16000</v>
      </c>
      <c r="E41" s="8">
        <v>44.9</v>
      </c>
      <c r="F41" s="7"/>
    </row>
    <row r="42" spans="1:6" x14ac:dyDescent="0.2">
      <c r="A42" s="9">
        <v>2017</v>
      </c>
      <c r="B42" s="7">
        <v>28000</v>
      </c>
      <c r="C42" s="8">
        <v>69.5</v>
      </c>
      <c r="D42" s="7">
        <v>17000</v>
      </c>
      <c r="E42" s="8">
        <v>43.6</v>
      </c>
      <c r="F42" s="7"/>
    </row>
    <row r="43" spans="1:6" x14ac:dyDescent="0.2">
      <c r="A43" s="9">
        <v>2018</v>
      </c>
      <c r="B43" s="7">
        <v>28000</v>
      </c>
      <c r="C43" s="8">
        <v>64.5</v>
      </c>
      <c r="D43" s="7">
        <v>18000</v>
      </c>
      <c r="E43" s="8">
        <v>41</v>
      </c>
      <c r="F43" s="7"/>
    </row>
    <row r="44" spans="1:6" x14ac:dyDescent="0.2">
      <c r="A44" s="9">
        <v>2019</v>
      </c>
      <c r="B44" s="7">
        <v>26000</v>
      </c>
      <c r="C44" s="8">
        <v>66.400000000000006</v>
      </c>
      <c r="D44" s="7">
        <v>17000</v>
      </c>
      <c r="E44" s="8">
        <v>44</v>
      </c>
      <c r="F44" s="7"/>
    </row>
    <row r="45" spans="1:6" x14ac:dyDescent="0.2">
      <c r="A45" s="9">
        <v>2020</v>
      </c>
      <c r="B45" s="7">
        <v>20000</v>
      </c>
      <c r="C45" s="8">
        <v>55.3</v>
      </c>
      <c r="D45" s="7">
        <v>13000</v>
      </c>
      <c r="E45" s="8">
        <v>36.200000000000003</v>
      </c>
      <c r="F45" s="7"/>
    </row>
    <row r="46" spans="1:6" x14ac:dyDescent="0.2">
      <c r="A46" s="9">
        <v>2021</v>
      </c>
      <c r="B46" s="7">
        <v>25000</v>
      </c>
      <c r="C46" s="8">
        <v>62</v>
      </c>
      <c r="D46" s="7">
        <v>18000</v>
      </c>
      <c r="E46" s="8">
        <v>44.3</v>
      </c>
      <c r="F46" s="7"/>
    </row>
    <row r="47" spans="1:6" x14ac:dyDescent="0.2">
      <c r="A47" s="9">
        <v>2022</v>
      </c>
      <c r="B47" s="7">
        <v>28000</v>
      </c>
      <c r="C47" s="8">
        <v>69.400000000000006</v>
      </c>
      <c r="D47" s="7">
        <v>19000</v>
      </c>
      <c r="E47" s="8">
        <v>47.9</v>
      </c>
      <c r="F47" s="7"/>
    </row>
    <row r="48" spans="1:6" x14ac:dyDescent="0.2">
      <c r="A48" s="9">
        <v>2023</v>
      </c>
      <c r="B48" s="7">
        <v>27000</v>
      </c>
      <c r="C48" s="8">
        <v>68</v>
      </c>
      <c r="D48" s="7">
        <v>18000</v>
      </c>
      <c r="E48" s="8">
        <v>46.2</v>
      </c>
      <c r="F48" s="7"/>
    </row>
    <row r="49" spans="1:6" x14ac:dyDescent="0.2">
      <c r="A49" s="9"/>
      <c r="B49" s="7"/>
      <c r="C49" s="8"/>
      <c r="D49" s="7"/>
      <c r="E49" s="8"/>
      <c r="F49" s="7"/>
    </row>
    <row r="50" spans="1:6" ht="15.75" x14ac:dyDescent="0.25">
      <c r="A50" s="3" t="s">
        <v>245</v>
      </c>
    </row>
    <row r="51" spans="1:6" ht="31.5" x14ac:dyDescent="0.25">
      <c r="A51" s="5" t="s">
        <v>167</v>
      </c>
      <c r="B51" s="6" t="s">
        <v>168</v>
      </c>
      <c r="C51" s="6" t="s">
        <v>169</v>
      </c>
      <c r="D51" s="6" t="s">
        <v>170</v>
      </c>
      <c r="E51" s="6" t="s">
        <v>171</v>
      </c>
      <c r="F51" s="6" t="s">
        <v>172</v>
      </c>
    </row>
    <row r="52" spans="1:6" x14ac:dyDescent="0.2">
      <c r="A52" s="9">
        <v>2016</v>
      </c>
      <c r="B52" s="7">
        <v>32000</v>
      </c>
      <c r="C52" s="8">
        <v>59.6</v>
      </c>
      <c r="D52" s="7">
        <v>22000</v>
      </c>
      <c r="E52" s="8">
        <v>40.6</v>
      </c>
      <c r="F52" s="7"/>
    </row>
    <row r="53" spans="1:6" x14ac:dyDescent="0.2">
      <c r="A53" s="9">
        <v>2017</v>
      </c>
      <c r="B53" s="7">
        <v>27000</v>
      </c>
      <c r="C53" s="8">
        <v>51.8</v>
      </c>
      <c r="D53" s="7">
        <v>21000</v>
      </c>
      <c r="E53" s="8">
        <v>39.799999999999997</v>
      </c>
      <c r="F53" s="7"/>
    </row>
    <row r="54" spans="1:6" x14ac:dyDescent="0.2">
      <c r="A54" s="9">
        <v>2018</v>
      </c>
      <c r="B54" s="7">
        <v>30000</v>
      </c>
      <c r="C54" s="8">
        <v>57.6</v>
      </c>
      <c r="D54" s="7">
        <v>22000</v>
      </c>
      <c r="E54" s="8">
        <v>41.9</v>
      </c>
      <c r="F54" s="7"/>
    </row>
    <row r="55" spans="1:6" x14ac:dyDescent="0.2">
      <c r="A55" s="9">
        <v>2019</v>
      </c>
      <c r="B55" s="7">
        <v>30000</v>
      </c>
      <c r="C55" s="8">
        <v>52.2</v>
      </c>
      <c r="D55" s="7">
        <v>22000</v>
      </c>
      <c r="E55" s="8">
        <v>38.700000000000003</v>
      </c>
      <c r="F55" s="7"/>
    </row>
    <row r="56" spans="1:6" x14ac:dyDescent="0.2">
      <c r="A56" s="9">
        <v>2020</v>
      </c>
      <c r="B56" s="7">
        <v>34000</v>
      </c>
      <c r="C56" s="8">
        <v>54.9</v>
      </c>
      <c r="D56" s="7">
        <v>26000</v>
      </c>
      <c r="E56" s="8">
        <v>40.799999999999997</v>
      </c>
      <c r="F56" s="7"/>
    </row>
    <row r="57" spans="1:6" x14ac:dyDescent="0.2">
      <c r="A57" s="9">
        <v>2021</v>
      </c>
      <c r="B57" s="7">
        <v>36000</v>
      </c>
      <c r="C57" s="8">
        <v>67.599999999999994</v>
      </c>
      <c r="D57" s="7">
        <v>27000</v>
      </c>
      <c r="E57" s="8">
        <v>50.9</v>
      </c>
      <c r="F57" s="7"/>
    </row>
    <row r="58" spans="1:6" x14ac:dyDescent="0.2">
      <c r="A58" s="9">
        <v>2022</v>
      </c>
      <c r="B58" s="7">
        <v>36000</v>
      </c>
      <c r="C58" s="8">
        <v>62.4</v>
      </c>
      <c r="D58" s="7">
        <v>25000</v>
      </c>
      <c r="E58" s="8">
        <v>43.1</v>
      </c>
      <c r="F58" s="7"/>
    </row>
    <row r="59" spans="1:6" x14ac:dyDescent="0.2">
      <c r="A59" s="9">
        <v>2023</v>
      </c>
      <c r="B59" s="7">
        <v>34000</v>
      </c>
      <c r="C59" s="8">
        <v>60.3</v>
      </c>
      <c r="D59" s="7">
        <v>22000</v>
      </c>
      <c r="E59" s="8">
        <v>39.799999999999997</v>
      </c>
      <c r="F59" s="7"/>
    </row>
    <row r="60" spans="1:6" x14ac:dyDescent="0.2">
      <c r="A60" s="9"/>
      <c r="B60" s="7"/>
      <c r="C60" s="8"/>
      <c r="D60" s="7"/>
      <c r="E60" s="8"/>
      <c r="F60" s="7"/>
    </row>
    <row r="61" spans="1:6" ht="15.75" x14ac:dyDescent="0.25">
      <c r="A61" s="3" t="s">
        <v>246</v>
      </c>
    </row>
    <row r="62" spans="1:6" ht="31.5" x14ac:dyDescent="0.25">
      <c r="A62" s="5" t="s">
        <v>167</v>
      </c>
      <c r="B62" s="6" t="s">
        <v>168</v>
      </c>
      <c r="C62" s="6" t="s">
        <v>169</v>
      </c>
      <c r="D62" s="6" t="s">
        <v>170</v>
      </c>
      <c r="E62" s="6" t="s">
        <v>171</v>
      </c>
      <c r="F62" s="6" t="s">
        <v>172</v>
      </c>
    </row>
    <row r="63" spans="1:6" x14ac:dyDescent="0.2">
      <c r="A63" s="9">
        <v>2016</v>
      </c>
      <c r="B63" s="7">
        <v>16000</v>
      </c>
      <c r="C63" s="8">
        <v>61.6</v>
      </c>
      <c r="D63" s="7">
        <v>10000</v>
      </c>
      <c r="E63" s="8">
        <v>37.200000000000003</v>
      </c>
      <c r="F63" s="7"/>
    </row>
    <row r="64" spans="1:6" x14ac:dyDescent="0.2">
      <c r="A64" s="9">
        <v>2017</v>
      </c>
      <c r="B64" s="7">
        <v>18000</v>
      </c>
      <c r="C64" s="8">
        <v>70.599999999999994</v>
      </c>
      <c r="D64" s="7">
        <v>11000</v>
      </c>
      <c r="E64" s="8">
        <v>42.7</v>
      </c>
      <c r="F64" s="7"/>
    </row>
    <row r="65" spans="1:6" x14ac:dyDescent="0.2">
      <c r="A65" s="9">
        <v>2018</v>
      </c>
      <c r="B65" s="7">
        <v>20000</v>
      </c>
      <c r="C65" s="8">
        <v>66.5</v>
      </c>
      <c r="D65" s="7">
        <v>14000</v>
      </c>
      <c r="E65" s="8">
        <v>46.2</v>
      </c>
      <c r="F65" s="7"/>
    </row>
    <row r="66" spans="1:6" x14ac:dyDescent="0.2">
      <c r="A66" s="9">
        <v>2019</v>
      </c>
      <c r="B66" s="7">
        <v>17000</v>
      </c>
      <c r="C66" s="8">
        <v>57</v>
      </c>
      <c r="D66" s="7">
        <v>13000</v>
      </c>
      <c r="E66" s="8">
        <v>42.3</v>
      </c>
      <c r="F66" s="7"/>
    </row>
    <row r="67" spans="1:6" x14ac:dyDescent="0.2">
      <c r="A67" s="9">
        <v>2020</v>
      </c>
      <c r="B67" s="7">
        <v>19000</v>
      </c>
      <c r="C67" s="8">
        <v>56.9</v>
      </c>
      <c r="D67" s="7">
        <v>13000</v>
      </c>
      <c r="E67" s="8">
        <v>40.299999999999997</v>
      </c>
      <c r="F67" s="7"/>
    </row>
    <row r="68" spans="1:6" x14ac:dyDescent="0.2">
      <c r="A68" s="9">
        <v>2021</v>
      </c>
      <c r="B68" s="7">
        <v>25000</v>
      </c>
      <c r="C68" s="8">
        <v>67.3</v>
      </c>
      <c r="D68" s="7">
        <v>18000</v>
      </c>
      <c r="E68" s="8">
        <v>48</v>
      </c>
      <c r="F68" s="7"/>
    </row>
    <row r="69" spans="1:6" x14ac:dyDescent="0.2">
      <c r="A69" s="9">
        <v>2022</v>
      </c>
      <c r="B69" s="7">
        <v>17000</v>
      </c>
      <c r="C69" s="8">
        <v>55.9</v>
      </c>
      <c r="D69" s="7">
        <v>12000</v>
      </c>
      <c r="E69" s="8">
        <v>41.4</v>
      </c>
      <c r="F69" s="7"/>
    </row>
    <row r="70" spans="1:6" x14ac:dyDescent="0.2">
      <c r="A70" s="9">
        <v>2023</v>
      </c>
      <c r="B70" s="7">
        <v>18000</v>
      </c>
      <c r="C70" s="8">
        <v>64.099999999999994</v>
      </c>
      <c r="D70" s="7">
        <v>12000</v>
      </c>
      <c r="E70" s="8">
        <v>44.7</v>
      </c>
      <c r="F70" s="7"/>
    </row>
    <row r="71" spans="1:6" x14ac:dyDescent="0.2">
      <c r="A71" s="9"/>
      <c r="B71" s="7"/>
      <c r="C71" s="8"/>
      <c r="D71" s="7"/>
      <c r="E71" s="8"/>
      <c r="F71" s="7"/>
    </row>
    <row r="72" spans="1:6" ht="15.75" x14ac:dyDescent="0.25">
      <c r="A72" s="3" t="s">
        <v>247</v>
      </c>
    </row>
    <row r="73" spans="1:6" ht="31.5" x14ac:dyDescent="0.25">
      <c r="A73" s="5" t="s">
        <v>167</v>
      </c>
      <c r="B73" s="6" t="s">
        <v>168</v>
      </c>
      <c r="C73" s="6" t="s">
        <v>169</v>
      </c>
      <c r="D73" s="6" t="s">
        <v>170</v>
      </c>
      <c r="E73" s="6" t="s">
        <v>171</v>
      </c>
      <c r="F73" s="6" t="s">
        <v>172</v>
      </c>
    </row>
    <row r="74" spans="1:6" x14ac:dyDescent="0.2">
      <c r="A74" s="9">
        <v>2016</v>
      </c>
      <c r="B74" s="7">
        <v>16000</v>
      </c>
      <c r="C74" s="8">
        <v>54.4</v>
      </c>
      <c r="D74" s="7">
        <v>10000</v>
      </c>
      <c r="E74" s="8">
        <v>36</v>
      </c>
      <c r="F74" s="7"/>
    </row>
    <row r="75" spans="1:6" x14ac:dyDescent="0.2">
      <c r="A75" s="9">
        <v>2017</v>
      </c>
      <c r="B75" s="7">
        <v>16000</v>
      </c>
      <c r="C75" s="8">
        <v>59.7</v>
      </c>
      <c r="D75" s="7">
        <v>12000</v>
      </c>
      <c r="E75" s="8">
        <v>43.3</v>
      </c>
      <c r="F75" s="7"/>
    </row>
    <row r="76" spans="1:6" x14ac:dyDescent="0.2">
      <c r="A76" s="9">
        <v>2018</v>
      </c>
      <c r="B76" s="7">
        <v>16000</v>
      </c>
      <c r="C76" s="8">
        <v>56.6</v>
      </c>
      <c r="D76" s="7">
        <v>12000</v>
      </c>
      <c r="E76" s="8">
        <v>41.3</v>
      </c>
      <c r="F76" s="7"/>
    </row>
    <row r="77" spans="1:6" x14ac:dyDescent="0.2">
      <c r="A77" s="9">
        <v>2019</v>
      </c>
      <c r="B77" s="7">
        <v>17000</v>
      </c>
      <c r="C77" s="8">
        <v>58.2</v>
      </c>
      <c r="D77" s="7">
        <v>13000</v>
      </c>
      <c r="E77" s="8">
        <v>44.7</v>
      </c>
      <c r="F77" s="7"/>
    </row>
    <row r="78" spans="1:6" x14ac:dyDescent="0.2">
      <c r="A78" s="9">
        <v>2020</v>
      </c>
      <c r="B78" s="7">
        <v>18000</v>
      </c>
      <c r="C78" s="8">
        <v>56.5</v>
      </c>
      <c r="D78" s="7">
        <v>13000</v>
      </c>
      <c r="E78" s="8">
        <v>41.6</v>
      </c>
      <c r="F78" s="7"/>
    </row>
    <row r="79" spans="1:6" x14ac:dyDescent="0.2">
      <c r="A79" s="9">
        <v>2021</v>
      </c>
      <c r="B79" s="7">
        <v>21000</v>
      </c>
      <c r="C79" s="8">
        <v>61.7</v>
      </c>
      <c r="D79" s="7">
        <v>16000</v>
      </c>
      <c r="E79" s="8">
        <v>46.8</v>
      </c>
      <c r="F79" s="7"/>
    </row>
    <row r="80" spans="1:6" x14ac:dyDescent="0.2">
      <c r="A80" s="9">
        <v>2022</v>
      </c>
      <c r="B80" s="7">
        <v>17000</v>
      </c>
      <c r="C80" s="8">
        <v>59.7</v>
      </c>
      <c r="D80" s="7">
        <v>13000</v>
      </c>
      <c r="E80" s="8">
        <v>44.4</v>
      </c>
      <c r="F80" s="7"/>
    </row>
    <row r="81" spans="1:6" x14ac:dyDescent="0.2">
      <c r="A81" s="9">
        <v>2023</v>
      </c>
      <c r="B81" s="7">
        <v>19000</v>
      </c>
      <c r="C81" s="8">
        <v>61.6</v>
      </c>
      <c r="D81" s="7">
        <v>13000</v>
      </c>
      <c r="E81" s="8">
        <v>41.8</v>
      </c>
      <c r="F81" s="7"/>
    </row>
    <row r="82" spans="1:6" x14ac:dyDescent="0.2">
      <c r="A82" s="9"/>
      <c r="B82" s="7"/>
      <c r="C82" s="8"/>
      <c r="D82" s="7"/>
      <c r="E82" s="8"/>
      <c r="F82" s="7"/>
    </row>
    <row r="83" spans="1:6" ht="15.75" x14ac:dyDescent="0.25">
      <c r="A83" s="3" t="s">
        <v>248</v>
      </c>
    </row>
    <row r="84" spans="1:6" ht="31.5" x14ac:dyDescent="0.25">
      <c r="A84" s="5" t="s">
        <v>167</v>
      </c>
      <c r="B84" s="6" t="s">
        <v>168</v>
      </c>
      <c r="C84" s="6" t="s">
        <v>169</v>
      </c>
      <c r="D84" s="6" t="s">
        <v>170</v>
      </c>
      <c r="E84" s="6" t="s">
        <v>171</v>
      </c>
      <c r="F84" s="6" t="s">
        <v>172</v>
      </c>
    </row>
    <row r="85" spans="1:6" x14ac:dyDescent="0.2">
      <c r="A85" s="9">
        <v>2016</v>
      </c>
      <c r="B85" s="7">
        <v>16000</v>
      </c>
      <c r="C85" s="8">
        <v>68.3</v>
      </c>
      <c r="D85" s="7">
        <v>11000</v>
      </c>
      <c r="E85" s="8">
        <v>47.7</v>
      </c>
      <c r="F85" s="7"/>
    </row>
    <row r="86" spans="1:6" x14ac:dyDescent="0.2">
      <c r="A86" s="9">
        <v>2017</v>
      </c>
      <c r="B86" s="7">
        <v>13000</v>
      </c>
      <c r="C86" s="8">
        <v>66</v>
      </c>
      <c r="D86" s="7">
        <v>9000</v>
      </c>
      <c r="E86" s="8">
        <v>48.2</v>
      </c>
      <c r="F86" s="7"/>
    </row>
    <row r="87" spans="1:6" x14ac:dyDescent="0.2">
      <c r="A87" s="9">
        <v>2018</v>
      </c>
      <c r="B87" s="7">
        <v>15000</v>
      </c>
      <c r="C87" s="8">
        <v>70.400000000000006</v>
      </c>
      <c r="D87" s="7">
        <v>10000</v>
      </c>
      <c r="E87" s="8">
        <v>49.1</v>
      </c>
      <c r="F87" s="7"/>
    </row>
    <row r="88" spans="1:6" x14ac:dyDescent="0.2">
      <c r="A88" s="9">
        <v>2019</v>
      </c>
      <c r="B88" s="7">
        <v>15000</v>
      </c>
      <c r="C88" s="8">
        <v>67.7</v>
      </c>
      <c r="D88" s="7">
        <v>10000</v>
      </c>
      <c r="E88" s="8">
        <v>42.2</v>
      </c>
      <c r="F88" s="7"/>
    </row>
    <row r="89" spans="1:6" x14ac:dyDescent="0.2">
      <c r="A89" s="9">
        <v>2020</v>
      </c>
      <c r="B89" s="7">
        <v>15000</v>
      </c>
      <c r="C89" s="8">
        <v>70.7</v>
      </c>
      <c r="D89" s="7">
        <v>9000</v>
      </c>
      <c r="E89" s="8">
        <v>41.4</v>
      </c>
      <c r="F89" s="7"/>
    </row>
    <row r="90" spans="1:6" x14ac:dyDescent="0.2">
      <c r="A90" s="9">
        <v>2021</v>
      </c>
      <c r="B90" s="7">
        <v>14000</v>
      </c>
      <c r="C90" s="8">
        <v>72.400000000000006</v>
      </c>
      <c r="D90" s="7">
        <v>10000</v>
      </c>
      <c r="E90" s="8">
        <v>49.3</v>
      </c>
      <c r="F90" s="7"/>
    </row>
    <row r="91" spans="1:6" x14ac:dyDescent="0.2">
      <c r="A91" s="9">
        <v>2022</v>
      </c>
      <c r="B91" s="7">
        <v>14000</v>
      </c>
      <c r="C91" s="8">
        <v>68.599999999999994</v>
      </c>
      <c r="D91" s="7">
        <v>8000</v>
      </c>
      <c r="E91" s="8">
        <v>43.2</v>
      </c>
      <c r="F91" s="7"/>
    </row>
    <row r="92" spans="1:6" x14ac:dyDescent="0.2">
      <c r="A92" s="9">
        <v>2023</v>
      </c>
      <c r="B92" s="7">
        <v>14000</v>
      </c>
      <c r="C92" s="8">
        <v>65.900000000000006</v>
      </c>
      <c r="D92" s="7">
        <v>9000</v>
      </c>
      <c r="E92" s="8">
        <v>43.6</v>
      </c>
      <c r="F92" s="7"/>
    </row>
    <row r="93" spans="1:6" x14ac:dyDescent="0.2">
      <c r="A93" s="9"/>
      <c r="B93" s="7"/>
      <c r="C93" s="8"/>
      <c r="D93" s="7"/>
      <c r="E93" s="8"/>
      <c r="F93" s="7"/>
    </row>
    <row r="94" spans="1:6" ht="15.75" x14ac:dyDescent="0.25">
      <c r="A94" s="3" t="s">
        <v>249</v>
      </c>
    </row>
    <row r="95" spans="1:6" ht="31.5" x14ac:dyDescent="0.25">
      <c r="A95" s="5" t="s">
        <v>167</v>
      </c>
      <c r="B95" s="6" t="s">
        <v>168</v>
      </c>
      <c r="C95" s="6" t="s">
        <v>169</v>
      </c>
      <c r="D95" s="6" t="s">
        <v>170</v>
      </c>
      <c r="E95" s="6" t="s">
        <v>171</v>
      </c>
      <c r="F95" s="6" t="s">
        <v>172</v>
      </c>
    </row>
    <row r="96" spans="1:6" x14ac:dyDescent="0.2">
      <c r="A96" s="9">
        <v>2016</v>
      </c>
      <c r="B96" s="7">
        <v>15000</v>
      </c>
      <c r="C96" s="8">
        <v>64.599999999999994</v>
      </c>
      <c r="D96" s="7">
        <v>11000</v>
      </c>
      <c r="E96" s="8">
        <v>44.9</v>
      </c>
      <c r="F96" s="7"/>
    </row>
    <row r="97" spans="1:6" x14ac:dyDescent="0.2">
      <c r="A97" s="9">
        <v>2017</v>
      </c>
      <c r="B97" s="7">
        <v>17000</v>
      </c>
      <c r="C97" s="8">
        <v>67.8</v>
      </c>
      <c r="D97" s="7">
        <v>12000</v>
      </c>
      <c r="E97" s="8">
        <v>47.1</v>
      </c>
      <c r="F97" s="7"/>
    </row>
    <row r="98" spans="1:6" x14ac:dyDescent="0.2">
      <c r="A98" s="9">
        <v>2018</v>
      </c>
      <c r="B98" s="7">
        <v>19000</v>
      </c>
      <c r="C98" s="8">
        <v>78.900000000000006</v>
      </c>
      <c r="D98" s="7">
        <v>14000</v>
      </c>
      <c r="E98" s="8">
        <v>56.8</v>
      </c>
      <c r="F98" s="7"/>
    </row>
    <row r="99" spans="1:6" x14ac:dyDescent="0.2">
      <c r="A99" s="9">
        <v>2019</v>
      </c>
      <c r="B99" s="7">
        <v>22000</v>
      </c>
      <c r="C99" s="8">
        <v>80.5</v>
      </c>
      <c r="D99" s="7">
        <v>18000</v>
      </c>
      <c r="E99" s="8">
        <v>66.3</v>
      </c>
      <c r="F99" s="7"/>
    </row>
    <row r="100" spans="1:6" x14ac:dyDescent="0.2">
      <c r="A100" s="9">
        <v>2020</v>
      </c>
      <c r="B100" s="7">
        <v>20000</v>
      </c>
      <c r="C100" s="8">
        <v>75.8</v>
      </c>
      <c r="D100" s="7">
        <v>16000</v>
      </c>
      <c r="E100" s="8">
        <v>62.6</v>
      </c>
      <c r="F100" s="7"/>
    </row>
    <row r="101" spans="1:6" x14ac:dyDescent="0.2">
      <c r="A101" s="9">
        <v>2021</v>
      </c>
      <c r="B101" s="7">
        <v>20000</v>
      </c>
      <c r="C101" s="8">
        <v>79.599999999999994</v>
      </c>
      <c r="D101" s="7">
        <v>16000</v>
      </c>
      <c r="E101" s="8">
        <v>62.7</v>
      </c>
      <c r="F101" s="7"/>
    </row>
    <row r="102" spans="1:6" x14ac:dyDescent="0.2">
      <c r="A102" s="9">
        <v>2022</v>
      </c>
      <c r="B102" s="7">
        <v>22000</v>
      </c>
      <c r="C102" s="8">
        <v>69.099999999999994</v>
      </c>
      <c r="D102" s="7">
        <v>17000</v>
      </c>
      <c r="E102" s="8">
        <v>53</v>
      </c>
      <c r="F102" s="7"/>
    </row>
    <row r="103" spans="1:6" x14ac:dyDescent="0.2">
      <c r="A103" s="9">
        <v>2023</v>
      </c>
      <c r="B103" s="7">
        <v>20000</v>
      </c>
      <c r="C103" s="8">
        <v>69.099999999999994</v>
      </c>
      <c r="D103" s="7">
        <v>16000</v>
      </c>
      <c r="E103" s="8">
        <v>54.5</v>
      </c>
      <c r="F103" s="7"/>
    </row>
    <row r="104" spans="1:6" x14ac:dyDescent="0.2">
      <c r="A104" s="9"/>
      <c r="B104" s="7"/>
      <c r="C104" s="8"/>
      <c r="D104" s="7"/>
      <c r="E104" s="8"/>
      <c r="F104" s="7"/>
    </row>
    <row r="105" spans="1:6" ht="15.75" x14ac:dyDescent="0.25">
      <c r="A105" s="3" t="s">
        <v>283</v>
      </c>
    </row>
    <row r="106" spans="1:6" ht="31.5" x14ac:dyDescent="0.25">
      <c r="A106" s="5" t="s">
        <v>167</v>
      </c>
      <c r="B106" s="6" t="s">
        <v>168</v>
      </c>
      <c r="C106" s="6" t="s">
        <v>169</v>
      </c>
      <c r="D106" s="6" t="s">
        <v>170</v>
      </c>
      <c r="E106" s="6" t="s">
        <v>171</v>
      </c>
      <c r="F106" s="6" t="s">
        <v>172</v>
      </c>
    </row>
    <row r="107" spans="1:6" x14ac:dyDescent="0.2">
      <c r="A107" s="9">
        <v>2016</v>
      </c>
      <c r="B107" s="7">
        <v>18000</v>
      </c>
      <c r="C107" s="8">
        <v>63.2</v>
      </c>
      <c r="D107" s="7">
        <v>11000</v>
      </c>
      <c r="E107" s="8">
        <v>40.1</v>
      </c>
      <c r="F107" s="7"/>
    </row>
    <row r="108" spans="1:6" x14ac:dyDescent="0.2">
      <c r="A108" s="9">
        <v>2017</v>
      </c>
      <c r="B108" s="7">
        <v>16000</v>
      </c>
      <c r="C108" s="8">
        <v>61.8</v>
      </c>
      <c r="D108" s="7">
        <v>12000</v>
      </c>
      <c r="E108" s="8">
        <v>45.4</v>
      </c>
      <c r="F108" s="7"/>
    </row>
    <row r="109" spans="1:6" x14ac:dyDescent="0.2">
      <c r="A109" s="9">
        <v>2018</v>
      </c>
      <c r="B109" s="7">
        <v>13000</v>
      </c>
      <c r="C109" s="8">
        <v>58.1</v>
      </c>
      <c r="D109" s="7">
        <v>10000</v>
      </c>
      <c r="E109" s="8">
        <v>46.3</v>
      </c>
      <c r="F109" s="7"/>
    </row>
    <row r="110" spans="1:6" x14ac:dyDescent="0.2">
      <c r="A110" s="9">
        <v>2019</v>
      </c>
      <c r="B110" s="7">
        <v>18000</v>
      </c>
      <c r="C110" s="8">
        <v>74.400000000000006</v>
      </c>
      <c r="D110" s="7">
        <v>13000</v>
      </c>
      <c r="E110" s="8">
        <v>56.3</v>
      </c>
      <c r="F110" s="7"/>
    </row>
    <row r="111" spans="1:6" x14ac:dyDescent="0.2">
      <c r="A111" s="9">
        <v>2020</v>
      </c>
      <c r="B111" s="7">
        <v>16000</v>
      </c>
      <c r="C111" s="8">
        <v>68.5</v>
      </c>
      <c r="D111" s="7">
        <v>13000</v>
      </c>
      <c r="E111" s="8">
        <v>55.4</v>
      </c>
      <c r="F111" s="7"/>
    </row>
    <row r="112" spans="1:6" x14ac:dyDescent="0.2">
      <c r="A112" s="9">
        <v>2021</v>
      </c>
      <c r="B112" s="7">
        <v>18000</v>
      </c>
      <c r="C112" s="8">
        <v>65.099999999999994</v>
      </c>
      <c r="D112" s="7">
        <v>14000</v>
      </c>
      <c r="E112" s="8">
        <v>48.6</v>
      </c>
      <c r="F112" s="7"/>
    </row>
    <row r="113" spans="1:6" x14ac:dyDescent="0.2">
      <c r="A113" s="9">
        <v>2022</v>
      </c>
      <c r="B113" s="7">
        <v>21000</v>
      </c>
      <c r="C113" s="8">
        <v>75.599999999999994</v>
      </c>
      <c r="D113" s="7">
        <v>16000</v>
      </c>
      <c r="E113" s="8">
        <v>56.9</v>
      </c>
      <c r="F113" s="7"/>
    </row>
    <row r="114" spans="1:6" x14ac:dyDescent="0.2">
      <c r="A114" s="9">
        <v>2023</v>
      </c>
      <c r="B114" s="7">
        <v>22000</v>
      </c>
      <c r="C114" s="8">
        <v>76.7</v>
      </c>
      <c r="D114" s="7">
        <v>16000</v>
      </c>
      <c r="E114" s="8">
        <v>53.9</v>
      </c>
      <c r="F114" s="7"/>
    </row>
    <row r="115" spans="1:6" x14ac:dyDescent="0.2">
      <c r="A115" s="9"/>
      <c r="B115" s="7"/>
      <c r="C115" s="8"/>
      <c r="D115" s="7"/>
      <c r="E115" s="8"/>
      <c r="F115" s="7"/>
    </row>
    <row r="116" spans="1:6" ht="15.75" x14ac:dyDescent="0.25">
      <c r="A116" s="3" t="s">
        <v>292</v>
      </c>
    </row>
    <row r="117" spans="1:6" ht="31.5" x14ac:dyDescent="0.25">
      <c r="A117" s="5" t="s">
        <v>167</v>
      </c>
      <c r="B117" s="6" t="s">
        <v>168</v>
      </c>
      <c r="C117" s="6" t="s">
        <v>169</v>
      </c>
      <c r="D117" s="6" t="s">
        <v>170</v>
      </c>
      <c r="E117" s="6" t="s">
        <v>171</v>
      </c>
      <c r="F117" s="6" t="s">
        <v>172</v>
      </c>
    </row>
    <row r="118" spans="1:6" x14ac:dyDescent="0.2">
      <c r="A118" s="9">
        <v>2016</v>
      </c>
      <c r="B118" s="7">
        <v>10000</v>
      </c>
      <c r="C118" s="8">
        <v>56.4</v>
      </c>
      <c r="D118" s="7">
        <v>7000</v>
      </c>
      <c r="E118" s="8">
        <v>40.5</v>
      </c>
      <c r="F118" s="7"/>
    </row>
    <row r="119" spans="1:6" x14ac:dyDescent="0.2">
      <c r="A119" s="9">
        <v>2017</v>
      </c>
      <c r="B119" s="7">
        <v>10000</v>
      </c>
      <c r="C119" s="8">
        <v>53.9</v>
      </c>
      <c r="D119" s="10">
        <v>6000</v>
      </c>
      <c r="E119" s="11">
        <v>33</v>
      </c>
      <c r="F119" s="7" t="s">
        <v>210</v>
      </c>
    </row>
    <row r="120" spans="1:6" x14ac:dyDescent="0.2">
      <c r="A120" s="9">
        <v>2018</v>
      </c>
      <c r="B120" s="7">
        <v>15000</v>
      </c>
      <c r="C120" s="8">
        <v>54.4</v>
      </c>
      <c r="D120" s="7">
        <v>9000</v>
      </c>
      <c r="E120" s="8">
        <v>31.2</v>
      </c>
      <c r="F120" s="7"/>
    </row>
    <row r="121" spans="1:6" x14ac:dyDescent="0.2">
      <c r="A121" s="9">
        <v>2019</v>
      </c>
      <c r="B121" s="7">
        <v>14000</v>
      </c>
      <c r="C121" s="8">
        <v>55.6</v>
      </c>
      <c r="D121" s="7">
        <v>8000</v>
      </c>
      <c r="E121" s="8">
        <v>33.9</v>
      </c>
      <c r="F121" s="7"/>
    </row>
    <row r="122" spans="1:6" x14ac:dyDescent="0.2">
      <c r="A122" s="9">
        <v>2020</v>
      </c>
      <c r="B122" s="7">
        <v>16000</v>
      </c>
      <c r="C122" s="8">
        <v>66.7</v>
      </c>
      <c r="D122" s="7">
        <v>9000</v>
      </c>
      <c r="E122" s="8">
        <v>38.700000000000003</v>
      </c>
      <c r="F122" s="7"/>
    </row>
    <row r="123" spans="1:6" x14ac:dyDescent="0.2">
      <c r="A123" s="9">
        <v>2021</v>
      </c>
      <c r="B123" s="7">
        <v>15000</v>
      </c>
      <c r="C123" s="8">
        <v>69.599999999999994</v>
      </c>
      <c r="D123" s="7">
        <v>10000</v>
      </c>
      <c r="E123" s="8">
        <v>46.1</v>
      </c>
      <c r="F123" s="7"/>
    </row>
    <row r="124" spans="1:6" x14ac:dyDescent="0.2">
      <c r="A124" s="9">
        <v>2022</v>
      </c>
      <c r="B124" s="7">
        <v>15000</v>
      </c>
      <c r="C124" s="8">
        <v>65</v>
      </c>
      <c r="D124" s="7">
        <v>11000</v>
      </c>
      <c r="E124" s="8">
        <v>47.9</v>
      </c>
      <c r="F124" s="7"/>
    </row>
    <row r="125" spans="1:6" x14ac:dyDescent="0.2">
      <c r="A125" s="9">
        <v>2023</v>
      </c>
      <c r="B125" s="7">
        <v>17000</v>
      </c>
      <c r="C125" s="8">
        <v>67.2</v>
      </c>
      <c r="D125" s="7">
        <v>13000</v>
      </c>
      <c r="E125" s="8">
        <v>48.4</v>
      </c>
      <c r="F125" s="7"/>
    </row>
    <row r="126" spans="1:6" x14ac:dyDescent="0.2">
      <c r="A126" s="9"/>
      <c r="B126" s="7"/>
      <c r="C126" s="8"/>
      <c r="D126" s="7"/>
      <c r="E126" s="8"/>
      <c r="F126" s="7"/>
    </row>
    <row r="127" spans="1:6" ht="15.75" x14ac:dyDescent="0.25">
      <c r="A127" s="3" t="s">
        <v>250</v>
      </c>
    </row>
    <row r="128" spans="1:6" ht="31.5" x14ac:dyDescent="0.25">
      <c r="A128" s="5" t="s">
        <v>167</v>
      </c>
      <c r="B128" s="6" t="s">
        <v>168</v>
      </c>
      <c r="C128" s="6" t="s">
        <v>169</v>
      </c>
      <c r="D128" s="6" t="s">
        <v>170</v>
      </c>
      <c r="E128" s="6" t="s">
        <v>171</v>
      </c>
      <c r="F128" s="6" t="s">
        <v>172</v>
      </c>
    </row>
    <row r="129" spans="1:6" x14ac:dyDescent="0.2">
      <c r="A129" s="9">
        <v>2016</v>
      </c>
      <c r="B129" s="7">
        <v>25000</v>
      </c>
      <c r="C129" s="8">
        <v>69.7</v>
      </c>
      <c r="D129" s="7">
        <v>17000</v>
      </c>
      <c r="E129" s="8">
        <v>47.5</v>
      </c>
      <c r="F129" s="7"/>
    </row>
    <row r="130" spans="1:6" x14ac:dyDescent="0.2">
      <c r="A130" s="9">
        <v>2017</v>
      </c>
      <c r="B130" s="7">
        <v>21000</v>
      </c>
      <c r="C130" s="8">
        <v>57.1</v>
      </c>
      <c r="D130" s="7">
        <v>14000</v>
      </c>
      <c r="E130" s="8">
        <v>38</v>
      </c>
      <c r="F130" s="7"/>
    </row>
    <row r="131" spans="1:6" x14ac:dyDescent="0.2">
      <c r="A131" s="9">
        <v>2018</v>
      </c>
      <c r="B131" s="7">
        <v>20000</v>
      </c>
      <c r="C131" s="8">
        <v>63.4</v>
      </c>
      <c r="D131" s="7">
        <v>14000</v>
      </c>
      <c r="E131" s="8">
        <v>43.5</v>
      </c>
      <c r="F131" s="7"/>
    </row>
    <row r="132" spans="1:6" x14ac:dyDescent="0.2">
      <c r="A132" s="9">
        <v>2019</v>
      </c>
      <c r="B132" s="7">
        <v>22000</v>
      </c>
      <c r="C132" s="8">
        <v>68.900000000000006</v>
      </c>
      <c r="D132" s="7">
        <v>15000</v>
      </c>
      <c r="E132" s="8">
        <v>47.1</v>
      </c>
      <c r="F132" s="7"/>
    </row>
    <row r="133" spans="1:6" x14ac:dyDescent="0.2">
      <c r="A133" s="9">
        <v>2020</v>
      </c>
      <c r="B133" s="7">
        <v>26000</v>
      </c>
      <c r="C133" s="8">
        <v>72.099999999999994</v>
      </c>
      <c r="D133" s="7">
        <v>19000</v>
      </c>
      <c r="E133" s="8">
        <v>51.2</v>
      </c>
      <c r="F133" s="7"/>
    </row>
    <row r="134" spans="1:6" x14ac:dyDescent="0.2">
      <c r="A134" s="9">
        <v>2021</v>
      </c>
      <c r="B134" s="7">
        <v>26000</v>
      </c>
      <c r="C134" s="8">
        <v>68.400000000000006</v>
      </c>
      <c r="D134" s="7">
        <v>18000</v>
      </c>
      <c r="E134" s="8">
        <v>47.9</v>
      </c>
      <c r="F134" s="7"/>
    </row>
    <row r="135" spans="1:6" x14ac:dyDescent="0.2">
      <c r="A135" s="9">
        <v>2022</v>
      </c>
      <c r="B135" s="7">
        <v>25000</v>
      </c>
      <c r="C135" s="8">
        <v>68.5</v>
      </c>
      <c r="D135" s="7">
        <v>17000</v>
      </c>
      <c r="E135" s="8">
        <v>47.8</v>
      </c>
      <c r="F135" s="7"/>
    </row>
    <row r="136" spans="1:6" x14ac:dyDescent="0.2">
      <c r="A136" s="9">
        <v>2023</v>
      </c>
      <c r="B136" s="7">
        <v>27000</v>
      </c>
      <c r="C136" s="8">
        <v>76.5</v>
      </c>
      <c r="D136" s="7">
        <v>20000</v>
      </c>
      <c r="E136" s="8">
        <v>57.6</v>
      </c>
      <c r="F136" s="7"/>
    </row>
    <row r="137" spans="1:6" x14ac:dyDescent="0.2">
      <c r="A137" s="9"/>
      <c r="B137" s="7"/>
      <c r="C137" s="8"/>
      <c r="D137" s="7"/>
      <c r="E137" s="8"/>
      <c r="F137" s="7"/>
    </row>
  </sheetData>
  <pageMargins left="0.7" right="0.7" top="0.75" bottom="0.75" header="0.3" footer="0.3"/>
  <pageSetup paperSize="9" orientation="portrait" horizontalDpi="300" verticalDpi="300"/>
  <tableParts count="12">
    <tablePart r:id="rId1"/>
    <tablePart r:id="rId2"/>
    <tablePart r:id="rId3"/>
    <tablePart r:id="rId4"/>
    <tablePart r:id="rId5"/>
    <tablePart r:id="rId6"/>
    <tablePart r:id="rId7"/>
    <tablePart r:id="rId8"/>
    <tablePart r:id="rId9"/>
    <tablePart r:id="rId10"/>
    <tablePart r:id="rId11"/>
    <tablePart r:id="rId1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37"/>
  <sheetViews>
    <sheetView workbookViewId="0"/>
  </sheetViews>
  <sheetFormatPr defaultColWidth="10.88671875" defaultRowHeight="15" x14ac:dyDescent="0.2"/>
  <cols>
    <col min="1" max="5" width="18.77734375" customWidth="1"/>
    <col min="6" max="6" width="50.77734375" customWidth="1"/>
  </cols>
  <sheetData>
    <row r="1" spans="1:6" ht="19.5" x14ac:dyDescent="0.3">
      <c r="A1" s="2" t="s">
        <v>251</v>
      </c>
    </row>
    <row r="2" spans="1:6" x14ac:dyDescent="0.2">
      <c r="A2" t="s">
        <v>162</v>
      </c>
    </row>
    <row r="3" spans="1:6" x14ac:dyDescent="0.2">
      <c r="A3" t="s">
        <v>163</v>
      </c>
    </row>
    <row r="4" spans="1:6" x14ac:dyDescent="0.2">
      <c r="A4" t="s">
        <v>164</v>
      </c>
    </row>
    <row r="5" spans="1:6" x14ac:dyDescent="0.2">
      <c r="A5" t="s">
        <v>165</v>
      </c>
    </row>
    <row r="6" spans="1:6" ht="15.75" x14ac:dyDescent="0.25">
      <c r="A6" s="3" t="s">
        <v>252</v>
      </c>
    </row>
    <row r="7" spans="1:6" ht="31.5" x14ac:dyDescent="0.25">
      <c r="A7" s="5" t="s">
        <v>167</v>
      </c>
      <c r="B7" s="6" t="s">
        <v>168</v>
      </c>
      <c r="C7" s="6" t="s">
        <v>169</v>
      </c>
      <c r="D7" s="6" t="s">
        <v>170</v>
      </c>
      <c r="E7" s="6" t="s">
        <v>171</v>
      </c>
      <c r="F7" s="6" t="s">
        <v>172</v>
      </c>
    </row>
    <row r="8" spans="1:6" x14ac:dyDescent="0.2">
      <c r="A8" s="9">
        <v>2016</v>
      </c>
      <c r="B8" s="7">
        <v>115000</v>
      </c>
      <c r="C8" s="8">
        <v>53.1</v>
      </c>
      <c r="D8" s="7">
        <v>71000</v>
      </c>
      <c r="E8" s="8">
        <v>32.6</v>
      </c>
      <c r="F8" s="7"/>
    </row>
    <row r="9" spans="1:6" x14ac:dyDescent="0.2">
      <c r="A9" s="9">
        <v>2017</v>
      </c>
      <c r="B9" s="7">
        <v>118000</v>
      </c>
      <c r="C9" s="8">
        <v>52</v>
      </c>
      <c r="D9" s="7">
        <v>74000</v>
      </c>
      <c r="E9" s="8">
        <v>32.299999999999997</v>
      </c>
      <c r="F9" s="7"/>
    </row>
    <row r="10" spans="1:6" x14ac:dyDescent="0.2">
      <c r="A10" s="9">
        <v>2018</v>
      </c>
      <c r="B10" s="7">
        <v>126000</v>
      </c>
      <c r="C10" s="8">
        <v>55.2</v>
      </c>
      <c r="D10" s="7">
        <v>82000</v>
      </c>
      <c r="E10" s="8">
        <v>35.799999999999997</v>
      </c>
      <c r="F10" s="7"/>
    </row>
    <row r="11" spans="1:6" x14ac:dyDescent="0.2">
      <c r="A11" s="9">
        <v>2019</v>
      </c>
      <c r="B11" s="7">
        <v>132000</v>
      </c>
      <c r="C11" s="8">
        <v>56.9</v>
      </c>
      <c r="D11" s="7">
        <v>85000</v>
      </c>
      <c r="E11" s="8">
        <v>36.9</v>
      </c>
      <c r="F11" s="7"/>
    </row>
    <row r="12" spans="1:6" x14ac:dyDescent="0.2">
      <c r="A12" s="9">
        <v>2020</v>
      </c>
      <c r="B12" s="7">
        <v>145000</v>
      </c>
      <c r="C12" s="8">
        <v>58.1</v>
      </c>
      <c r="D12" s="7">
        <v>96000</v>
      </c>
      <c r="E12" s="8">
        <v>38.4</v>
      </c>
      <c r="F12" s="7"/>
    </row>
    <row r="13" spans="1:6" x14ac:dyDescent="0.2">
      <c r="A13" s="9">
        <v>2021</v>
      </c>
      <c r="B13" s="7">
        <v>149000</v>
      </c>
      <c r="C13" s="8">
        <v>61</v>
      </c>
      <c r="D13" s="7">
        <v>97000</v>
      </c>
      <c r="E13" s="8">
        <v>39.6</v>
      </c>
      <c r="F13" s="7"/>
    </row>
    <row r="14" spans="1:6" x14ac:dyDescent="0.2">
      <c r="A14" s="9">
        <v>2022</v>
      </c>
      <c r="B14" s="7">
        <v>142000</v>
      </c>
      <c r="C14" s="8">
        <v>58.3</v>
      </c>
      <c r="D14" s="7">
        <v>95000</v>
      </c>
      <c r="E14" s="8">
        <v>38.799999999999997</v>
      </c>
      <c r="F14" s="7"/>
    </row>
    <row r="15" spans="1:6" x14ac:dyDescent="0.2">
      <c r="A15" s="9">
        <v>2023</v>
      </c>
      <c r="B15" s="7">
        <v>158000</v>
      </c>
      <c r="C15" s="8">
        <v>60.9</v>
      </c>
      <c r="D15" s="7">
        <v>109000</v>
      </c>
      <c r="E15" s="8">
        <v>42.1</v>
      </c>
      <c r="F15" s="7"/>
    </row>
    <row r="16" spans="1:6" x14ac:dyDescent="0.2">
      <c r="A16" s="9"/>
      <c r="B16" s="7"/>
      <c r="C16" s="8"/>
      <c r="D16" s="7"/>
      <c r="E16" s="8"/>
      <c r="F16" s="7"/>
    </row>
    <row r="17" spans="1:6" ht="15.75" x14ac:dyDescent="0.25">
      <c r="A17" s="3" t="s">
        <v>253</v>
      </c>
    </row>
    <row r="18" spans="1:6" ht="31.5" x14ac:dyDescent="0.25">
      <c r="A18" s="5" t="s">
        <v>167</v>
      </c>
      <c r="B18" s="6" t="s">
        <v>168</v>
      </c>
      <c r="C18" s="6" t="s">
        <v>169</v>
      </c>
      <c r="D18" s="6" t="s">
        <v>170</v>
      </c>
      <c r="E18" s="6" t="s">
        <v>171</v>
      </c>
      <c r="F18" s="6" t="s">
        <v>172</v>
      </c>
    </row>
    <row r="19" spans="1:6" x14ac:dyDescent="0.2">
      <c r="A19" s="9">
        <v>2016</v>
      </c>
      <c r="B19" s="10">
        <v>6000</v>
      </c>
      <c r="C19" s="11">
        <v>53.6</v>
      </c>
      <c r="D19" s="10">
        <v>5000</v>
      </c>
      <c r="E19" s="11">
        <v>39.200000000000003</v>
      </c>
      <c r="F19" s="7" t="s">
        <v>207</v>
      </c>
    </row>
    <row r="20" spans="1:6" x14ac:dyDescent="0.2">
      <c r="A20" s="9">
        <v>2017</v>
      </c>
      <c r="B20" s="7">
        <v>11000</v>
      </c>
      <c r="C20" s="8">
        <v>57.5</v>
      </c>
      <c r="D20" s="10">
        <v>6000</v>
      </c>
      <c r="E20" s="11">
        <v>32.200000000000003</v>
      </c>
      <c r="F20" s="7" t="s">
        <v>208</v>
      </c>
    </row>
    <row r="21" spans="1:6" x14ac:dyDescent="0.2">
      <c r="A21" s="9">
        <v>2018</v>
      </c>
      <c r="B21" s="7">
        <v>11000</v>
      </c>
      <c r="C21" s="8">
        <v>63.5</v>
      </c>
      <c r="D21" s="10">
        <v>8000</v>
      </c>
      <c r="E21" s="11">
        <v>43.7</v>
      </c>
      <c r="F21" s="7" t="s">
        <v>208</v>
      </c>
    </row>
    <row r="22" spans="1:6" x14ac:dyDescent="0.2">
      <c r="A22" s="9">
        <v>2019</v>
      </c>
      <c r="B22" s="7">
        <v>10000</v>
      </c>
      <c r="C22" s="8">
        <v>61.6</v>
      </c>
      <c r="D22" s="7">
        <v>7000</v>
      </c>
      <c r="E22" s="8">
        <v>42.9</v>
      </c>
      <c r="F22" s="7"/>
    </row>
    <row r="23" spans="1:6" x14ac:dyDescent="0.2">
      <c r="A23" s="9">
        <v>2020</v>
      </c>
      <c r="B23" s="7">
        <v>13000</v>
      </c>
      <c r="C23" s="8">
        <v>74.599999999999994</v>
      </c>
      <c r="D23" s="7">
        <v>9000</v>
      </c>
      <c r="E23" s="8">
        <v>52</v>
      </c>
      <c r="F23" s="7"/>
    </row>
    <row r="24" spans="1:6" x14ac:dyDescent="0.2">
      <c r="A24" s="9">
        <v>2021</v>
      </c>
      <c r="B24" s="7">
        <v>13000</v>
      </c>
      <c r="C24" s="8">
        <v>71.2</v>
      </c>
      <c r="D24" s="7">
        <v>8000</v>
      </c>
      <c r="E24" s="8">
        <v>45.7</v>
      </c>
      <c r="F24" s="7"/>
    </row>
    <row r="25" spans="1:6" x14ac:dyDescent="0.2">
      <c r="A25" s="9">
        <v>2022</v>
      </c>
      <c r="B25" s="7">
        <v>12000</v>
      </c>
      <c r="C25" s="8">
        <v>65.3</v>
      </c>
      <c r="D25" s="7">
        <v>7000</v>
      </c>
      <c r="E25" s="8">
        <v>42.3</v>
      </c>
      <c r="F25" s="7"/>
    </row>
    <row r="26" spans="1:6" x14ac:dyDescent="0.2">
      <c r="A26" s="9">
        <v>2023</v>
      </c>
      <c r="B26" s="7">
        <v>11000</v>
      </c>
      <c r="C26" s="8">
        <v>69.900000000000006</v>
      </c>
      <c r="D26" s="7">
        <v>8000</v>
      </c>
      <c r="E26" s="8">
        <v>49.4</v>
      </c>
      <c r="F26" s="7"/>
    </row>
    <row r="27" spans="1:6" x14ac:dyDescent="0.2">
      <c r="A27" s="9"/>
      <c r="B27" s="7"/>
      <c r="C27" s="8"/>
      <c r="D27" s="7"/>
      <c r="E27" s="8"/>
      <c r="F27" s="7"/>
    </row>
    <row r="28" spans="1:6" ht="15.75" x14ac:dyDescent="0.25">
      <c r="A28" s="3" t="s">
        <v>254</v>
      </c>
    </row>
    <row r="29" spans="1:6" ht="31.5" x14ac:dyDescent="0.25">
      <c r="A29" s="5" t="s">
        <v>167</v>
      </c>
      <c r="B29" s="6" t="s">
        <v>168</v>
      </c>
      <c r="C29" s="6" t="s">
        <v>169</v>
      </c>
      <c r="D29" s="6" t="s">
        <v>170</v>
      </c>
      <c r="E29" s="6" t="s">
        <v>171</v>
      </c>
      <c r="F29" s="6" t="s">
        <v>172</v>
      </c>
    </row>
    <row r="30" spans="1:6" x14ac:dyDescent="0.2">
      <c r="A30" s="9">
        <v>2016</v>
      </c>
      <c r="B30" s="7">
        <v>9000</v>
      </c>
      <c r="C30" s="8">
        <v>56</v>
      </c>
      <c r="D30" s="10">
        <v>5000</v>
      </c>
      <c r="E30" s="11">
        <v>32.9</v>
      </c>
      <c r="F30" s="7" t="s">
        <v>210</v>
      </c>
    </row>
    <row r="31" spans="1:6" x14ac:dyDescent="0.2">
      <c r="A31" s="9">
        <v>2017</v>
      </c>
      <c r="B31" s="7">
        <v>8000</v>
      </c>
      <c r="C31" s="8">
        <v>50</v>
      </c>
      <c r="D31" s="10">
        <v>5000</v>
      </c>
      <c r="E31" s="11">
        <v>27.8</v>
      </c>
      <c r="F31" s="7" t="s">
        <v>210</v>
      </c>
    </row>
    <row r="32" spans="1:6" x14ac:dyDescent="0.2">
      <c r="A32" s="9">
        <v>2018</v>
      </c>
      <c r="B32" s="7">
        <v>10000</v>
      </c>
      <c r="C32" s="8">
        <v>63.2</v>
      </c>
      <c r="D32" s="7">
        <v>7000</v>
      </c>
      <c r="E32" s="8">
        <v>43.6</v>
      </c>
      <c r="F32" s="7"/>
    </row>
    <row r="33" spans="1:6" x14ac:dyDescent="0.2">
      <c r="A33" s="9">
        <v>2019</v>
      </c>
      <c r="B33" s="7">
        <v>13000</v>
      </c>
      <c r="C33" s="8">
        <v>68.8</v>
      </c>
      <c r="D33" s="7">
        <v>8000</v>
      </c>
      <c r="E33" s="8">
        <v>41.3</v>
      </c>
      <c r="F33" s="7"/>
    </row>
    <row r="34" spans="1:6" x14ac:dyDescent="0.2">
      <c r="A34" s="9">
        <v>2020</v>
      </c>
      <c r="B34" s="7">
        <v>16000</v>
      </c>
      <c r="C34" s="8">
        <v>72.599999999999994</v>
      </c>
      <c r="D34" s="7">
        <v>11000</v>
      </c>
      <c r="E34" s="8">
        <v>48.3</v>
      </c>
      <c r="F34" s="7"/>
    </row>
    <row r="35" spans="1:6" x14ac:dyDescent="0.2">
      <c r="A35" s="9">
        <v>2021</v>
      </c>
      <c r="B35" s="7">
        <v>11000</v>
      </c>
      <c r="C35" s="8">
        <v>57.5</v>
      </c>
      <c r="D35" s="7">
        <v>8000</v>
      </c>
      <c r="E35" s="8">
        <v>39.4</v>
      </c>
      <c r="F35" s="7"/>
    </row>
    <row r="36" spans="1:6" x14ac:dyDescent="0.2">
      <c r="A36" s="9">
        <v>2022</v>
      </c>
      <c r="B36" s="7">
        <v>12000</v>
      </c>
      <c r="C36" s="8">
        <v>56.7</v>
      </c>
      <c r="D36" s="7">
        <v>9000</v>
      </c>
      <c r="E36" s="8">
        <v>41.5</v>
      </c>
      <c r="F36" s="7"/>
    </row>
    <row r="37" spans="1:6" x14ac:dyDescent="0.2">
      <c r="A37" s="9">
        <v>2023</v>
      </c>
      <c r="B37" s="7">
        <v>11000</v>
      </c>
      <c r="C37" s="8">
        <v>59.9</v>
      </c>
      <c r="D37" s="7">
        <v>9000</v>
      </c>
      <c r="E37" s="8">
        <v>48.5</v>
      </c>
      <c r="F37" s="7"/>
    </row>
    <row r="38" spans="1:6" x14ac:dyDescent="0.2">
      <c r="A38" s="9"/>
      <c r="B38" s="7"/>
      <c r="C38" s="8"/>
      <c r="D38" s="7"/>
      <c r="E38" s="8"/>
      <c r="F38" s="7"/>
    </row>
    <row r="39" spans="1:6" ht="15.75" x14ac:dyDescent="0.25">
      <c r="A39" s="3" t="s">
        <v>255</v>
      </c>
    </row>
    <row r="40" spans="1:6" ht="31.5" x14ac:dyDescent="0.25">
      <c r="A40" s="5" t="s">
        <v>167</v>
      </c>
      <c r="B40" s="6" t="s">
        <v>168</v>
      </c>
      <c r="C40" s="6" t="s">
        <v>169</v>
      </c>
      <c r="D40" s="6" t="s">
        <v>170</v>
      </c>
      <c r="E40" s="6" t="s">
        <v>171</v>
      </c>
      <c r="F40" s="6" t="s">
        <v>172</v>
      </c>
    </row>
    <row r="41" spans="1:6" x14ac:dyDescent="0.2">
      <c r="A41" s="9">
        <v>2016</v>
      </c>
      <c r="B41" s="7">
        <v>14000</v>
      </c>
      <c r="C41" s="8">
        <v>52.2</v>
      </c>
      <c r="D41" s="7">
        <v>9000</v>
      </c>
      <c r="E41" s="8">
        <v>35.200000000000003</v>
      </c>
      <c r="F41" s="7"/>
    </row>
    <row r="42" spans="1:6" x14ac:dyDescent="0.2">
      <c r="A42" s="9">
        <v>2017</v>
      </c>
      <c r="B42" s="7">
        <v>15000</v>
      </c>
      <c r="C42" s="8">
        <v>55.6</v>
      </c>
      <c r="D42" s="7">
        <v>9000</v>
      </c>
      <c r="E42" s="8">
        <v>32.700000000000003</v>
      </c>
      <c r="F42" s="7"/>
    </row>
    <row r="43" spans="1:6" x14ac:dyDescent="0.2">
      <c r="A43" s="9">
        <v>2018</v>
      </c>
      <c r="B43" s="7">
        <v>16000</v>
      </c>
      <c r="C43" s="8">
        <v>60.4</v>
      </c>
      <c r="D43" s="7">
        <v>10000</v>
      </c>
      <c r="E43" s="8">
        <v>38.700000000000003</v>
      </c>
      <c r="F43" s="7"/>
    </row>
    <row r="44" spans="1:6" x14ac:dyDescent="0.2">
      <c r="A44" s="9">
        <v>2019</v>
      </c>
      <c r="B44" s="7">
        <v>17000</v>
      </c>
      <c r="C44" s="8">
        <v>64.7</v>
      </c>
      <c r="D44" s="7">
        <v>11000</v>
      </c>
      <c r="E44" s="8">
        <v>39.5</v>
      </c>
      <c r="F44" s="7"/>
    </row>
    <row r="45" spans="1:6" x14ac:dyDescent="0.2">
      <c r="A45" s="9">
        <v>2020</v>
      </c>
      <c r="B45" s="7">
        <v>16000</v>
      </c>
      <c r="C45" s="8">
        <v>57.5</v>
      </c>
      <c r="D45" s="7">
        <v>9000</v>
      </c>
      <c r="E45" s="8">
        <v>32.700000000000003</v>
      </c>
      <c r="F45" s="7"/>
    </row>
    <row r="46" spans="1:6" x14ac:dyDescent="0.2">
      <c r="A46" s="9">
        <v>2021</v>
      </c>
      <c r="B46" s="7">
        <v>15000</v>
      </c>
      <c r="C46" s="8">
        <v>56.5</v>
      </c>
      <c r="D46" s="7">
        <v>10000</v>
      </c>
      <c r="E46" s="8">
        <v>38.700000000000003</v>
      </c>
      <c r="F46" s="7"/>
    </row>
    <row r="47" spans="1:6" x14ac:dyDescent="0.2">
      <c r="A47" s="9">
        <v>2022</v>
      </c>
      <c r="B47" s="7">
        <v>17000</v>
      </c>
      <c r="C47" s="8">
        <v>63.8</v>
      </c>
      <c r="D47" s="7">
        <v>12000</v>
      </c>
      <c r="E47" s="8">
        <v>45.2</v>
      </c>
      <c r="F47" s="7"/>
    </row>
    <row r="48" spans="1:6" x14ac:dyDescent="0.2">
      <c r="A48" s="9">
        <v>2023</v>
      </c>
      <c r="B48" s="7">
        <v>20000</v>
      </c>
      <c r="C48" s="8">
        <v>67.7</v>
      </c>
      <c r="D48" s="7">
        <v>14000</v>
      </c>
      <c r="E48" s="8">
        <v>47.8</v>
      </c>
      <c r="F48" s="7"/>
    </row>
    <row r="49" spans="1:6" x14ac:dyDescent="0.2">
      <c r="A49" s="9"/>
      <c r="B49" s="7"/>
      <c r="C49" s="8"/>
      <c r="D49" s="7"/>
      <c r="E49" s="8"/>
      <c r="F49" s="7"/>
    </row>
    <row r="50" spans="1:6" ht="15.75" x14ac:dyDescent="0.25">
      <c r="A50" s="3" t="s">
        <v>256</v>
      </c>
    </row>
    <row r="51" spans="1:6" ht="31.5" x14ac:dyDescent="0.25">
      <c r="A51" s="5" t="s">
        <v>167</v>
      </c>
      <c r="B51" s="6" t="s">
        <v>168</v>
      </c>
      <c r="C51" s="6" t="s">
        <v>169</v>
      </c>
      <c r="D51" s="6" t="s">
        <v>170</v>
      </c>
      <c r="E51" s="6" t="s">
        <v>171</v>
      </c>
      <c r="F51" s="6" t="s">
        <v>172</v>
      </c>
    </row>
    <row r="52" spans="1:6" x14ac:dyDescent="0.2">
      <c r="A52" s="9">
        <v>2016</v>
      </c>
      <c r="B52" s="7">
        <v>23000</v>
      </c>
      <c r="C52" s="8">
        <v>53.3</v>
      </c>
      <c r="D52" s="7">
        <v>13000</v>
      </c>
      <c r="E52" s="8">
        <v>30.1</v>
      </c>
      <c r="F52" s="7"/>
    </row>
    <row r="53" spans="1:6" x14ac:dyDescent="0.2">
      <c r="A53" s="9">
        <v>2017</v>
      </c>
      <c r="B53" s="7">
        <v>19000</v>
      </c>
      <c r="C53" s="8">
        <v>40.299999999999997</v>
      </c>
      <c r="D53" s="7">
        <v>13000</v>
      </c>
      <c r="E53" s="8">
        <v>28.2</v>
      </c>
      <c r="F53" s="7"/>
    </row>
    <row r="54" spans="1:6" x14ac:dyDescent="0.2">
      <c r="A54" s="9">
        <v>2018</v>
      </c>
      <c r="B54" s="7">
        <v>20000</v>
      </c>
      <c r="C54" s="8">
        <v>45.2</v>
      </c>
      <c r="D54" s="7">
        <v>12000</v>
      </c>
      <c r="E54" s="8">
        <v>28.5</v>
      </c>
      <c r="F54" s="7"/>
    </row>
    <row r="55" spans="1:6" x14ac:dyDescent="0.2">
      <c r="A55" s="9">
        <v>2019</v>
      </c>
      <c r="B55" s="7">
        <v>25000</v>
      </c>
      <c r="C55" s="8">
        <v>49.6</v>
      </c>
      <c r="D55" s="7">
        <v>16000</v>
      </c>
      <c r="E55" s="8">
        <v>32.299999999999997</v>
      </c>
      <c r="F55" s="7"/>
    </row>
    <row r="56" spans="1:6" x14ac:dyDescent="0.2">
      <c r="A56" s="9">
        <v>2020</v>
      </c>
      <c r="B56" s="7">
        <v>26000</v>
      </c>
      <c r="C56" s="8">
        <v>46.2</v>
      </c>
      <c r="D56" s="7">
        <v>18000</v>
      </c>
      <c r="E56" s="8">
        <v>33.1</v>
      </c>
      <c r="F56" s="7"/>
    </row>
    <row r="57" spans="1:6" x14ac:dyDescent="0.2">
      <c r="A57" s="9">
        <v>2021</v>
      </c>
      <c r="B57" s="7">
        <v>33000</v>
      </c>
      <c r="C57" s="8">
        <v>58.7</v>
      </c>
      <c r="D57" s="7">
        <v>21000</v>
      </c>
      <c r="E57" s="8">
        <v>37.5</v>
      </c>
      <c r="F57" s="7"/>
    </row>
    <row r="58" spans="1:6" x14ac:dyDescent="0.2">
      <c r="A58" s="9">
        <v>2022</v>
      </c>
      <c r="B58" s="7">
        <v>31000</v>
      </c>
      <c r="C58" s="8">
        <v>54.5</v>
      </c>
      <c r="D58" s="7">
        <v>21000</v>
      </c>
      <c r="E58" s="8">
        <v>36.6</v>
      </c>
      <c r="F58" s="7"/>
    </row>
    <row r="59" spans="1:6" x14ac:dyDescent="0.2">
      <c r="A59" s="9">
        <v>2023</v>
      </c>
      <c r="B59" s="7">
        <v>34000</v>
      </c>
      <c r="C59" s="8">
        <v>56.4</v>
      </c>
      <c r="D59" s="7">
        <v>23000</v>
      </c>
      <c r="E59" s="8">
        <v>37.4</v>
      </c>
      <c r="F59" s="7"/>
    </row>
    <row r="60" spans="1:6" x14ac:dyDescent="0.2">
      <c r="A60" s="9"/>
      <c r="B60" s="7"/>
      <c r="C60" s="8"/>
      <c r="D60" s="7"/>
      <c r="E60" s="8"/>
      <c r="F60" s="7"/>
    </row>
    <row r="61" spans="1:6" ht="15.75" x14ac:dyDescent="0.25">
      <c r="A61" s="3" t="s">
        <v>257</v>
      </c>
    </row>
    <row r="62" spans="1:6" ht="31.5" x14ac:dyDescent="0.25">
      <c r="A62" s="5" t="s">
        <v>167</v>
      </c>
      <c r="B62" s="6" t="s">
        <v>168</v>
      </c>
      <c r="C62" s="6" t="s">
        <v>169</v>
      </c>
      <c r="D62" s="6" t="s">
        <v>170</v>
      </c>
      <c r="E62" s="6" t="s">
        <v>171</v>
      </c>
      <c r="F62" s="6" t="s">
        <v>172</v>
      </c>
    </row>
    <row r="63" spans="1:6" x14ac:dyDescent="0.2">
      <c r="A63" s="9">
        <v>2016</v>
      </c>
      <c r="B63" s="7">
        <v>9000</v>
      </c>
      <c r="C63" s="8">
        <v>51.3</v>
      </c>
      <c r="D63" s="10">
        <v>4000</v>
      </c>
      <c r="E63" s="11">
        <v>22.2</v>
      </c>
      <c r="F63" s="7" t="s">
        <v>210</v>
      </c>
    </row>
    <row r="64" spans="1:6" x14ac:dyDescent="0.2">
      <c r="A64" s="9">
        <v>2017</v>
      </c>
      <c r="B64" s="7">
        <v>9000</v>
      </c>
      <c r="C64" s="8">
        <v>58</v>
      </c>
      <c r="D64" s="10">
        <v>5000</v>
      </c>
      <c r="E64" s="11">
        <v>34.6</v>
      </c>
      <c r="F64" s="7" t="s">
        <v>210</v>
      </c>
    </row>
    <row r="65" spans="1:6" x14ac:dyDescent="0.2">
      <c r="A65" s="9">
        <v>2018</v>
      </c>
      <c r="B65" s="7">
        <v>10000</v>
      </c>
      <c r="C65" s="8">
        <v>53.8</v>
      </c>
      <c r="D65" s="7">
        <v>7000</v>
      </c>
      <c r="E65" s="8">
        <v>35.200000000000003</v>
      </c>
      <c r="F65" s="7"/>
    </row>
    <row r="66" spans="1:6" x14ac:dyDescent="0.2">
      <c r="A66" s="9">
        <v>2019</v>
      </c>
      <c r="B66" s="7">
        <v>9000</v>
      </c>
      <c r="C66" s="8">
        <v>50.7</v>
      </c>
      <c r="D66" s="7">
        <v>7000</v>
      </c>
      <c r="E66" s="8">
        <v>37.299999999999997</v>
      </c>
      <c r="F66" s="7"/>
    </row>
    <row r="67" spans="1:6" x14ac:dyDescent="0.2">
      <c r="A67" s="9">
        <v>2020</v>
      </c>
      <c r="B67" s="7">
        <v>11000</v>
      </c>
      <c r="C67" s="8">
        <v>58.9</v>
      </c>
      <c r="D67" s="7">
        <v>6000</v>
      </c>
      <c r="E67" s="8">
        <v>31.7</v>
      </c>
      <c r="F67" s="7"/>
    </row>
    <row r="68" spans="1:6" x14ac:dyDescent="0.2">
      <c r="A68" s="9">
        <v>2021</v>
      </c>
      <c r="B68" s="7">
        <v>11000</v>
      </c>
      <c r="C68" s="8">
        <v>64.3</v>
      </c>
      <c r="D68" s="7">
        <v>7000</v>
      </c>
      <c r="E68" s="8">
        <v>42</v>
      </c>
      <c r="F68" s="7"/>
    </row>
    <row r="69" spans="1:6" x14ac:dyDescent="0.2">
      <c r="A69" s="9">
        <v>2022</v>
      </c>
      <c r="B69" s="7">
        <v>9000</v>
      </c>
      <c r="C69" s="8">
        <v>56</v>
      </c>
      <c r="D69" s="7">
        <v>6000</v>
      </c>
      <c r="E69" s="8">
        <v>34</v>
      </c>
      <c r="F69" s="7"/>
    </row>
    <row r="70" spans="1:6" x14ac:dyDescent="0.2">
      <c r="A70" s="9">
        <v>2023</v>
      </c>
      <c r="B70" s="7">
        <v>14000</v>
      </c>
      <c r="C70" s="8">
        <v>61.9</v>
      </c>
      <c r="D70" s="7">
        <v>9000</v>
      </c>
      <c r="E70" s="8">
        <v>38.799999999999997</v>
      </c>
      <c r="F70" s="7"/>
    </row>
    <row r="71" spans="1:6" x14ac:dyDescent="0.2">
      <c r="A71" s="9"/>
      <c r="B71" s="7"/>
      <c r="C71" s="8"/>
      <c r="D71" s="7"/>
      <c r="E71" s="8"/>
      <c r="F71" s="7"/>
    </row>
    <row r="72" spans="1:6" ht="15.75" x14ac:dyDescent="0.25">
      <c r="A72" s="3" t="s">
        <v>258</v>
      </c>
    </row>
    <row r="73" spans="1:6" ht="31.5" x14ac:dyDescent="0.25">
      <c r="A73" s="5" t="s">
        <v>167</v>
      </c>
      <c r="B73" s="6" t="s">
        <v>168</v>
      </c>
      <c r="C73" s="6" t="s">
        <v>169</v>
      </c>
      <c r="D73" s="6" t="s">
        <v>170</v>
      </c>
      <c r="E73" s="6" t="s">
        <v>171</v>
      </c>
      <c r="F73" s="6" t="s">
        <v>172</v>
      </c>
    </row>
    <row r="74" spans="1:6" x14ac:dyDescent="0.2">
      <c r="A74" s="9">
        <v>2016</v>
      </c>
      <c r="B74" s="7">
        <v>11000</v>
      </c>
      <c r="C74" s="8">
        <v>42</v>
      </c>
      <c r="D74" s="10">
        <v>7000</v>
      </c>
      <c r="E74" s="11">
        <v>26.1</v>
      </c>
      <c r="F74" s="7" t="s">
        <v>210</v>
      </c>
    </row>
    <row r="75" spans="1:6" x14ac:dyDescent="0.2">
      <c r="A75" s="9">
        <v>2017</v>
      </c>
      <c r="B75" s="7">
        <v>14000</v>
      </c>
      <c r="C75" s="8">
        <v>51.6</v>
      </c>
      <c r="D75" s="7">
        <v>10000</v>
      </c>
      <c r="E75" s="8">
        <v>34.200000000000003</v>
      </c>
      <c r="F75" s="7"/>
    </row>
    <row r="76" spans="1:6" x14ac:dyDescent="0.2">
      <c r="A76" s="9">
        <v>2018</v>
      </c>
      <c r="B76" s="7">
        <v>12000</v>
      </c>
      <c r="C76" s="8">
        <v>50.6</v>
      </c>
      <c r="D76" s="7">
        <v>8000</v>
      </c>
      <c r="E76" s="8">
        <v>32.1</v>
      </c>
      <c r="F76" s="7"/>
    </row>
    <row r="77" spans="1:6" x14ac:dyDescent="0.2">
      <c r="A77" s="9">
        <v>2019</v>
      </c>
      <c r="B77" s="7">
        <v>12000</v>
      </c>
      <c r="C77" s="8">
        <v>49.4</v>
      </c>
      <c r="D77" s="7">
        <v>8000</v>
      </c>
      <c r="E77" s="8">
        <v>31.1</v>
      </c>
      <c r="F77" s="7"/>
    </row>
    <row r="78" spans="1:6" x14ac:dyDescent="0.2">
      <c r="A78" s="9">
        <v>2020</v>
      </c>
      <c r="B78" s="7">
        <v>17000</v>
      </c>
      <c r="C78" s="8">
        <v>55.9</v>
      </c>
      <c r="D78" s="7">
        <v>10000</v>
      </c>
      <c r="E78" s="8">
        <v>33.799999999999997</v>
      </c>
      <c r="F78" s="7"/>
    </row>
    <row r="79" spans="1:6" x14ac:dyDescent="0.2">
      <c r="A79" s="9">
        <v>2021</v>
      </c>
      <c r="B79" s="7">
        <v>16000</v>
      </c>
      <c r="C79" s="8">
        <v>61.6</v>
      </c>
      <c r="D79" s="7">
        <v>9000</v>
      </c>
      <c r="E79" s="8">
        <v>37.1</v>
      </c>
      <c r="F79" s="7"/>
    </row>
    <row r="80" spans="1:6" x14ac:dyDescent="0.2">
      <c r="A80" s="9">
        <v>2022</v>
      </c>
      <c r="B80" s="7">
        <v>13000</v>
      </c>
      <c r="C80" s="8">
        <v>62.6</v>
      </c>
      <c r="D80" s="7">
        <v>8000</v>
      </c>
      <c r="E80" s="8">
        <v>39.200000000000003</v>
      </c>
      <c r="F80" s="7"/>
    </row>
    <row r="81" spans="1:6" x14ac:dyDescent="0.2">
      <c r="A81" s="9">
        <v>2023</v>
      </c>
      <c r="B81" s="7">
        <v>18000</v>
      </c>
      <c r="C81" s="8">
        <v>61.3</v>
      </c>
      <c r="D81" s="7">
        <v>12000</v>
      </c>
      <c r="E81" s="8">
        <v>40.200000000000003</v>
      </c>
      <c r="F81" s="7"/>
    </row>
    <row r="82" spans="1:6" x14ac:dyDescent="0.2">
      <c r="A82" s="9"/>
      <c r="B82" s="7"/>
      <c r="C82" s="8"/>
      <c r="D82" s="7"/>
      <c r="E82" s="8"/>
      <c r="F82" s="7"/>
    </row>
    <row r="83" spans="1:6" ht="15.75" x14ac:dyDescent="0.25">
      <c r="A83" s="3" t="s">
        <v>259</v>
      </c>
    </row>
    <row r="84" spans="1:6" ht="31.5" x14ac:dyDescent="0.25">
      <c r="A84" s="5" t="s">
        <v>167</v>
      </c>
      <c r="B84" s="6" t="s">
        <v>168</v>
      </c>
      <c r="C84" s="6" t="s">
        <v>169</v>
      </c>
      <c r="D84" s="6" t="s">
        <v>170</v>
      </c>
      <c r="E84" s="6" t="s">
        <v>171</v>
      </c>
      <c r="F84" s="6" t="s">
        <v>172</v>
      </c>
    </row>
    <row r="85" spans="1:6" x14ac:dyDescent="0.2">
      <c r="A85" s="9">
        <v>2016</v>
      </c>
      <c r="B85" s="7">
        <v>9000</v>
      </c>
      <c r="C85" s="8">
        <v>59.9</v>
      </c>
      <c r="D85" s="10">
        <v>5000</v>
      </c>
      <c r="E85" s="11">
        <v>32.4</v>
      </c>
      <c r="F85" s="7" t="s">
        <v>210</v>
      </c>
    </row>
    <row r="86" spans="1:6" x14ac:dyDescent="0.2">
      <c r="A86" s="9">
        <v>2017</v>
      </c>
      <c r="B86" s="7">
        <v>9000</v>
      </c>
      <c r="C86" s="8">
        <v>62.7</v>
      </c>
      <c r="D86" s="10">
        <v>6000</v>
      </c>
      <c r="E86" s="11">
        <v>36.799999999999997</v>
      </c>
      <c r="F86" s="7" t="s">
        <v>210</v>
      </c>
    </row>
    <row r="87" spans="1:6" x14ac:dyDescent="0.2">
      <c r="A87" s="9">
        <v>2018</v>
      </c>
      <c r="B87" s="7">
        <v>9000</v>
      </c>
      <c r="C87" s="8">
        <v>60.6</v>
      </c>
      <c r="D87" s="7">
        <v>4000</v>
      </c>
      <c r="E87" s="8">
        <v>30.7</v>
      </c>
      <c r="F87" s="7"/>
    </row>
    <row r="88" spans="1:6" x14ac:dyDescent="0.2">
      <c r="A88" s="9">
        <v>2019</v>
      </c>
      <c r="B88" s="7">
        <v>8000</v>
      </c>
      <c r="C88" s="8">
        <v>56.1</v>
      </c>
      <c r="D88" s="7">
        <v>5000</v>
      </c>
      <c r="E88" s="8">
        <v>34.1</v>
      </c>
      <c r="F88" s="7"/>
    </row>
    <row r="89" spans="1:6" x14ac:dyDescent="0.2">
      <c r="A89" s="9">
        <v>2020</v>
      </c>
      <c r="B89" s="7">
        <v>9000</v>
      </c>
      <c r="C89" s="8">
        <v>61.9</v>
      </c>
      <c r="D89" s="7">
        <v>6000</v>
      </c>
      <c r="E89" s="8">
        <v>38.6</v>
      </c>
      <c r="F89" s="7"/>
    </row>
    <row r="90" spans="1:6" x14ac:dyDescent="0.2">
      <c r="A90" s="9">
        <v>2021</v>
      </c>
      <c r="B90" s="7">
        <v>9000</v>
      </c>
      <c r="C90" s="8">
        <v>70.400000000000006</v>
      </c>
      <c r="D90" s="7">
        <v>6000</v>
      </c>
      <c r="E90" s="8">
        <v>44.2</v>
      </c>
      <c r="F90" s="7"/>
    </row>
    <row r="91" spans="1:6" x14ac:dyDescent="0.2">
      <c r="A91" s="9">
        <v>2022</v>
      </c>
      <c r="B91" s="7">
        <v>9000</v>
      </c>
      <c r="C91" s="8">
        <v>55.6</v>
      </c>
      <c r="D91" s="7">
        <v>5000</v>
      </c>
      <c r="E91" s="8">
        <v>31.8</v>
      </c>
      <c r="F91" s="7"/>
    </row>
    <row r="92" spans="1:6" x14ac:dyDescent="0.2">
      <c r="A92" s="9">
        <v>2023</v>
      </c>
      <c r="B92" s="7">
        <v>9000</v>
      </c>
      <c r="C92" s="8">
        <v>56.7</v>
      </c>
      <c r="D92" s="7">
        <v>6000</v>
      </c>
      <c r="E92" s="8">
        <v>37.4</v>
      </c>
      <c r="F92" s="7"/>
    </row>
    <row r="93" spans="1:6" x14ac:dyDescent="0.2">
      <c r="A93" s="9"/>
      <c r="B93" s="7"/>
      <c r="C93" s="8"/>
      <c r="D93" s="7"/>
      <c r="E93" s="8"/>
      <c r="F93" s="7"/>
    </row>
    <row r="94" spans="1:6" ht="15.75" x14ac:dyDescent="0.25">
      <c r="A94" s="3" t="s">
        <v>260</v>
      </c>
    </row>
    <row r="95" spans="1:6" ht="31.5" x14ac:dyDescent="0.25">
      <c r="A95" s="5" t="s">
        <v>167</v>
      </c>
      <c r="B95" s="6" t="s">
        <v>168</v>
      </c>
      <c r="C95" s="6" t="s">
        <v>169</v>
      </c>
      <c r="D95" s="6" t="s">
        <v>170</v>
      </c>
      <c r="E95" s="6" t="s">
        <v>171</v>
      </c>
      <c r="F95" s="6" t="s">
        <v>172</v>
      </c>
    </row>
    <row r="96" spans="1:6" x14ac:dyDescent="0.2">
      <c r="A96" s="9">
        <v>2016</v>
      </c>
      <c r="B96" s="7">
        <v>7000</v>
      </c>
      <c r="C96" s="8">
        <v>54</v>
      </c>
      <c r="D96" s="10">
        <v>5000</v>
      </c>
      <c r="E96" s="11">
        <v>38.9</v>
      </c>
      <c r="F96" s="7" t="s">
        <v>210</v>
      </c>
    </row>
    <row r="97" spans="1:6" x14ac:dyDescent="0.2">
      <c r="A97" s="9">
        <v>2017</v>
      </c>
      <c r="B97" s="7">
        <v>7000</v>
      </c>
      <c r="C97" s="8">
        <v>58.7</v>
      </c>
      <c r="D97" s="10">
        <v>4000</v>
      </c>
      <c r="E97" s="11">
        <v>34.6</v>
      </c>
      <c r="F97" s="7" t="s">
        <v>210</v>
      </c>
    </row>
    <row r="98" spans="1:6" x14ac:dyDescent="0.2">
      <c r="A98" s="9">
        <v>2018</v>
      </c>
      <c r="B98" s="7">
        <v>7000</v>
      </c>
      <c r="C98" s="8">
        <v>64.099999999999994</v>
      </c>
      <c r="D98" s="10">
        <v>4000</v>
      </c>
      <c r="E98" s="11">
        <v>37.4</v>
      </c>
      <c r="F98" s="7" t="s">
        <v>210</v>
      </c>
    </row>
    <row r="99" spans="1:6" x14ac:dyDescent="0.2">
      <c r="A99" s="9">
        <v>2019</v>
      </c>
      <c r="B99" s="7">
        <v>9000</v>
      </c>
      <c r="C99" s="8">
        <v>70.900000000000006</v>
      </c>
      <c r="D99" s="7">
        <v>7000</v>
      </c>
      <c r="E99" s="8">
        <v>52.2</v>
      </c>
      <c r="F99" s="7"/>
    </row>
    <row r="100" spans="1:6" x14ac:dyDescent="0.2">
      <c r="A100" s="9">
        <v>2020</v>
      </c>
      <c r="B100" s="7">
        <v>9000</v>
      </c>
      <c r="C100" s="8">
        <v>61.9</v>
      </c>
      <c r="D100" s="7">
        <v>7000</v>
      </c>
      <c r="E100" s="8">
        <v>49.2</v>
      </c>
      <c r="F100" s="7"/>
    </row>
    <row r="101" spans="1:6" x14ac:dyDescent="0.2">
      <c r="A101" s="9">
        <v>2021</v>
      </c>
      <c r="B101" s="7">
        <v>11000</v>
      </c>
      <c r="C101" s="8">
        <v>64.599999999999994</v>
      </c>
      <c r="D101" s="7">
        <v>9000</v>
      </c>
      <c r="E101" s="8">
        <v>51.7</v>
      </c>
      <c r="F101" s="7"/>
    </row>
    <row r="102" spans="1:6" x14ac:dyDescent="0.2">
      <c r="A102" s="9">
        <v>2022</v>
      </c>
      <c r="B102" s="7">
        <v>13000</v>
      </c>
      <c r="C102" s="8">
        <v>72</v>
      </c>
      <c r="D102" s="7">
        <v>9000</v>
      </c>
      <c r="E102" s="8">
        <v>48.7</v>
      </c>
      <c r="F102" s="7"/>
    </row>
    <row r="103" spans="1:6" x14ac:dyDescent="0.2">
      <c r="A103" s="9">
        <v>2023</v>
      </c>
      <c r="B103" s="7">
        <v>11000</v>
      </c>
      <c r="C103" s="8">
        <v>60.6</v>
      </c>
      <c r="D103" s="7">
        <v>8000</v>
      </c>
      <c r="E103" s="8">
        <v>42.6</v>
      </c>
      <c r="F103" s="7"/>
    </row>
    <row r="104" spans="1:6" x14ac:dyDescent="0.2">
      <c r="A104" s="9"/>
      <c r="B104" s="7"/>
      <c r="C104" s="8"/>
      <c r="D104" s="7"/>
      <c r="E104" s="8"/>
      <c r="F104" s="7"/>
    </row>
    <row r="105" spans="1:6" ht="15.75" x14ac:dyDescent="0.25">
      <c r="A105" s="3" t="s">
        <v>284</v>
      </c>
    </row>
    <row r="106" spans="1:6" ht="31.5" x14ac:dyDescent="0.25">
      <c r="A106" s="5" t="s">
        <v>167</v>
      </c>
      <c r="B106" s="6" t="s">
        <v>168</v>
      </c>
      <c r="C106" s="6" t="s">
        <v>169</v>
      </c>
      <c r="D106" s="6" t="s">
        <v>170</v>
      </c>
      <c r="E106" s="6" t="s">
        <v>171</v>
      </c>
      <c r="F106" s="6" t="s">
        <v>172</v>
      </c>
    </row>
    <row r="107" spans="1:6" x14ac:dyDescent="0.2">
      <c r="A107" s="9">
        <v>2016</v>
      </c>
      <c r="B107" s="7">
        <v>7000</v>
      </c>
      <c r="C107" s="8">
        <v>48.4</v>
      </c>
      <c r="D107" s="10">
        <v>5000</v>
      </c>
      <c r="E107" s="11">
        <v>29.8</v>
      </c>
      <c r="F107" s="7" t="s">
        <v>210</v>
      </c>
    </row>
    <row r="108" spans="1:6" x14ac:dyDescent="0.2">
      <c r="A108" s="9">
        <v>2017</v>
      </c>
      <c r="B108" s="7">
        <v>10000</v>
      </c>
      <c r="C108" s="8">
        <v>54.1</v>
      </c>
      <c r="D108" s="10">
        <v>7000</v>
      </c>
      <c r="E108" s="11">
        <v>36.9</v>
      </c>
      <c r="F108" s="7" t="s">
        <v>210</v>
      </c>
    </row>
    <row r="109" spans="1:6" x14ac:dyDescent="0.2">
      <c r="A109" s="9">
        <v>2018</v>
      </c>
      <c r="B109" s="7">
        <v>10000</v>
      </c>
      <c r="C109" s="8">
        <v>50.3</v>
      </c>
      <c r="D109" s="7">
        <v>7000</v>
      </c>
      <c r="E109" s="8">
        <v>38.799999999999997</v>
      </c>
      <c r="F109" s="7"/>
    </row>
    <row r="110" spans="1:6" x14ac:dyDescent="0.2">
      <c r="A110" s="9">
        <v>2019</v>
      </c>
      <c r="B110" s="7">
        <v>10000</v>
      </c>
      <c r="C110" s="8">
        <v>64.099999999999994</v>
      </c>
      <c r="D110" s="7">
        <v>7000</v>
      </c>
      <c r="E110" s="8">
        <v>46.3</v>
      </c>
      <c r="F110" s="7"/>
    </row>
    <row r="111" spans="1:6" x14ac:dyDescent="0.2">
      <c r="A111" s="9">
        <v>2020</v>
      </c>
      <c r="B111" s="7">
        <v>9000</v>
      </c>
      <c r="C111" s="8">
        <v>59.6</v>
      </c>
      <c r="D111" s="7">
        <v>7000</v>
      </c>
      <c r="E111" s="8">
        <v>45.6</v>
      </c>
      <c r="F111" s="7"/>
    </row>
    <row r="112" spans="1:6" x14ac:dyDescent="0.2">
      <c r="A112" s="9">
        <v>2021</v>
      </c>
      <c r="B112" s="7">
        <v>10000</v>
      </c>
      <c r="C112" s="8">
        <v>63.5</v>
      </c>
      <c r="D112" s="7">
        <v>7000</v>
      </c>
      <c r="E112" s="8">
        <v>40.5</v>
      </c>
      <c r="F112" s="7"/>
    </row>
    <row r="113" spans="1:6" x14ac:dyDescent="0.2">
      <c r="A113" s="9">
        <v>2022</v>
      </c>
      <c r="B113" s="7">
        <v>11000</v>
      </c>
      <c r="C113" s="8">
        <v>62.9</v>
      </c>
      <c r="D113" s="7">
        <v>8000</v>
      </c>
      <c r="E113" s="8">
        <v>50.1</v>
      </c>
      <c r="F113" s="7"/>
    </row>
    <row r="114" spans="1:6" x14ac:dyDescent="0.2">
      <c r="A114" s="9">
        <v>2023</v>
      </c>
      <c r="B114" s="7">
        <v>12000</v>
      </c>
      <c r="C114" s="8">
        <v>65.3</v>
      </c>
      <c r="D114" s="7">
        <v>9000</v>
      </c>
      <c r="E114" s="8">
        <v>48</v>
      </c>
      <c r="F114" s="7"/>
    </row>
    <row r="115" spans="1:6" x14ac:dyDescent="0.2">
      <c r="A115" s="9"/>
      <c r="B115" s="7"/>
      <c r="C115" s="8"/>
      <c r="D115" s="7"/>
      <c r="E115" s="8"/>
      <c r="F115" s="7"/>
    </row>
    <row r="116" spans="1:6" ht="15.75" x14ac:dyDescent="0.25">
      <c r="A116" s="3" t="s">
        <v>293</v>
      </c>
    </row>
    <row r="117" spans="1:6" ht="31.5" x14ac:dyDescent="0.25">
      <c r="A117" s="5" t="s">
        <v>167</v>
      </c>
      <c r="B117" s="6" t="s">
        <v>168</v>
      </c>
      <c r="C117" s="6" t="s">
        <v>169</v>
      </c>
      <c r="D117" s="6" t="s">
        <v>170</v>
      </c>
      <c r="E117" s="6" t="s">
        <v>171</v>
      </c>
      <c r="F117" s="6" t="s">
        <v>172</v>
      </c>
    </row>
    <row r="118" spans="1:6" x14ac:dyDescent="0.2">
      <c r="A118" s="9">
        <v>2016</v>
      </c>
      <c r="B118" s="7">
        <v>8000</v>
      </c>
      <c r="C118" s="8">
        <v>56.5</v>
      </c>
      <c r="D118" s="10">
        <v>5000</v>
      </c>
      <c r="E118" s="11">
        <v>32.4</v>
      </c>
      <c r="F118" s="7" t="s">
        <v>208</v>
      </c>
    </row>
    <row r="119" spans="1:6" x14ac:dyDescent="0.2">
      <c r="A119" s="9">
        <v>2017</v>
      </c>
      <c r="B119" s="10">
        <v>5000</v>
      </c>
      <c r="C119" s="11">
        <v>53.6</v>
      </c>
      <c r="D119" s="10">
        <v>2000</v>
      </c>
      <c r="E119" s="11">
        <v>23.1</v>
      </c>
      <c r="F119" s="7" t="s">
        <v>207</v>
      </c>
    </row>
    <row r="120" spans="1:6" x14ac:dyDescent="0.2">
      <c r="A120" s="9">
        <v>2018</v>
      </c>
      <c r="B120" s="7">
        <v>11000</v>
      </c>
      <c r="C120" s="8">
        <v>64.2</v>
      </c>
      <c r="D120" s="7">
        <v>8000</v>
      </c>
      <c r="E120" s="8">
        <v>44.6</v>
      </c>
      <c r="F120" s="7"/>
    </row>
    <row r="121" spans="1:6" x14ac:dyDescent="0.2">
      <c r="A121" s="9">
        <v>2019</v>
      </c>
      <c r="B121" s="7">
        <v>8000</v>
      </c>
      <c r="C121" s="8">
        <v>52.3</v>
      </c>
      <c r="D121" s="7">
        <v>5000</v>
      </c>
      <c r="E121" s="8">
        <v>29.9</v>
      </c>
      <c r="F121" s="7"/>
    </row>
    <row r="122" spans="1:6" x14ac:dyDescent="0.2">
      <c r="A122" s="9">
        <v>2020</v>
      </c>
      <c r="B122" s="7">
        <v>8000</v>
      </c>
      <c r="C122" s="8">
        <v>52.9</v>
      </c>
      <c r="D122" s="10">
        <v>3000</v>
      </c>
      <c r="E122" s="11">
        <v>21.8</v>
      </c>
      <c r="F122" s="7" t="s">
        <v>208</v>
      </c>
    </row>
    <row r="123" spans="1:6" x14ac:dyDescent="0.2">
      <c r="A123" s="9">
        <v>2021</v>
      </c>
      <c r="B123" s="7">
        <v>8000</v>
      </c>
      <c r="C123" s="8">
        <v>53.5</v>
      </c>
      <c r="D123" s="10">
        <v>5000</v>
      </c>
      <c r="E123" s="11">
        <v>33</v>
      </c>
      <c r="F123" s="7" t="s">
        <v>208</v>
      </c>
    </row>
    <row r="124" spans="1:6" x14ac:dyDescent="0.2">
      <c r="A124" s="9">
        <v>2022</v>
      </c>
      <c r="B124" s="7">
        <v>7000</v>
      </c>
      <c r="C124" s="8">
        <v>49.3</v>
      </c>
      <c r="D124" s="7">
        <v>5000</v>
      </c>
      <c r="E124" s="8">
        <v>32.4</v>
      </c>
      <c r="F124" s="7"/>
    </row>
    <row r="125" spans="1:6" x14ac:dyDescent="0.2">
      <c r="A125" s="9">
        <v>2023</v>
      </c>
      <c r="B125" s="7">
        <v>8000</v>
      </c>
      <c r="C125" s="8">
        <v>57.5</v>
      </c>
      <c r="D125" s="7">
        <v>5000</v>
      </c>
      <c r="E125" s="8">
        <v>40.4</v>
      </c>
      <c r="F125" s="7"/>
    </row>
    <row r="126" spans="1:6" x14ac:dyDescent="0.2">
      <c r="A126" s="9"/>
      <c r="B126" s="7"/>
      <c r="C126" s="8"/>
      <c r="D126" s="7"/>
      <c r="E126" s="8"/>
      <c r="F126" s="7"/>
    </row>
    <row r="127" spans="1:6" ht="15.75" x14ac:dyDescent="0.25">
      <c r="A127" s="3" t="s">
        <v>261</v>
      </c>
    </row>
    <row r="128" spans="1:6" ht="31.5" x14ac:dyDescent="0.25">
      <c r="A128" s="5" t="s">
        <v>167</v>
      </c>
      <c r="B128" s="6" t="s">
        <v>168</v>
      </c>
      <c r="C128" s="6" t="s">
        <v>169</v>
      </c>
      <c r="D128" s="6" t="s">
        <v>170</v>
      </c>
      <c r="E128" s="6" t="s">
        <v>171</v>
      </c>
      <c r="F128" s="6" t="s">
        <v>172</v>
      </c>
    </row>
    <row r="129" spans="1:6" x14ac:dyDescent="0.2">
      <c r="A129" s="9">
        <v>2016</v>
      </c>
      <c r="B129" s="7">
        <v>11000</v>
      </c>
      <c r="C129" s="8">
        <v>62.8</v>
      </c>
      <c r="D129" s="7">
        <v>8000</v>
      </c>
      <c r="E129" s="8">
        <v>46.4</v>
      </c>
      <c r="F129" s="7"/>
    </row>
    <row r="130" spans="1:6" x14ac:dyDescent="0.2">
      <c r="A130" s="9">
        <v>2017</v>
      </c>
      <c r="B130" s="7">
        <v>11000</v>
      </c>
      <c r="C130" s="8">
        <v>51.6</v>
      </c>
      <c r="D130" s="7">
        <v>7000</v>
      </c>
      <c r="E130" s="8">
        <v>35.700000000000003</v>
      </c>
      <c r="F130" s="7"/>
    </row>
    <row r="131" spans="1:6" x14ac:dyDescent="0.2">
      <c r="A131" s="9">
        <v>2018</v>
      </c>
      <c r="B131" s="7">
        <v>10000</v>
      </c>
      <c r="C131" s="8">
        <v>51.7</v>
      </c>
      <c r="D131" s="7">
        <v>6000</v>
      </c>
      <c r="E131" s="8">
        <v>32</v>
      </c>
      <c r="F131" s="7"/>
    </row>
    <row r="132" spans="1:6" x14ac:dyDescent="0.2">
      <c r="A132" s="9">
        <v>2019</v>
      </c>
      <c r="B132" s="7">
        <v>10000</v>
      </c>
      <c r="C132" s="8">
        <v>53.6</v>
      </c>
      <c r="D132" s="7">
        <v>6000</v>
      </c>
      <c r="E132" s="8">
        <v>33.299999999999997</v>
      </c>
      <c r="F132" s="7"/>
    </row>
    <row r="133" spans="1:6" x14ac:dyDescent="0.2">
      <c r="A133" s="9">
        <v>2020</v>
      </c>
      <c r="B133" s="7">
        <v>12000</v>
      </c>
      <c r="C133" s="8">
        <v>62.3</v>
      </c>
      <c r="D133" s="7">
        <v>10000</v>
      </c>
      <c r="E133" s="8">
        <v>51.2</v>
      </c>
      <c r="F133" s="7"/>
    </row>
    <row r="134" spans="1:6" x14ac:dyDescent="0.2">
      <c r="A134" s="9">
        <v>2021</v>
      </c>
      <c r="B134" s="7">
        <v>13000</v>
      </c>
      <c r="C134" s="8">
        <v>57.8</v>
      </c>
      <c r="D134" s="7">
        <v>8000</v>
      </c>
      <c r="E134" s="8">
        <v>34.200000000000003</v>
      </c>
      <c r="F134" s="7"/>
    </row>
    <row r="135" spans="1:6" x14ac:dyDescent="0.2">
      <c r="A135" s="9">
        <v>2022</v>
      </c>
      <c r="B135" s="7">
        <v>9000</v>
      </c>
      <c r="C135" s="8">
        <v>46.5</v>
      </c>
      <c r="D135" s="7">
        <v>5000</v>
      </c>
      <c r="E135" s="8">
        <v>25.4</v>
      </c>
      <c r="F135" s="7"/>
    </row>
    <row r="136" spans="1:6" x14ac:dyDescent="0.2">
      <c r="A136" s="9">
        <v>2023</v>
      </c>
      <c r="B136" s="7">
        <v>10000</v>
      </c>
      <c r="C136" s="8">
        <v>58.2</v>
      </c>
      <c r="D136" s="7">
        <v>8000</v>
      </c>
      <c r="E136" s="8">
        <v>42.3</v>
      </c>
      <c r="F136" s="7"/>
    </row>
    <row r="137" spans="1:6" x14ac:dyDescent="0.2">
      <c r="A137" s="9"/>
      <c r="B137" s="7"/>
      <c r="C137" s="8"/>
      <c r="D137" s="7"/>
      <c r="E137" s="8"/>
      <c r="F137" s="7"/>
    </row>
  </sheetData>
  <pageMargins left="0.7" right="0.7" top="0.75" bottom="0.75" header="0.3" footer="0.3"/>
  <pageSetup paperSize="9" orientation="portrait" horizontalDpi="300" verticalDpi="300"/>
  <tableParts count="12">
    <tablePart r:id="rId1"/>
    <tablePart r:id="rId2"/>
    <tablePart r:id="rId3"/>
    <tablePart r:id="rId4"/>
    <tablePart r:id="rId5"/>
    <tablePart r:id="rId6"/>
    <tablePart r:id="rId7"/>
    <tablePart r:id="rId8"/>
    <tablePart r:id="rId9"/>
    <tablePart r:id="rId10"/>
    <tablePart r:id="rId11"/>
    <tablePart r:id="rId1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37"/>
  <sheetViews>
    <sheetView workbookViewId="0"/>
  </sheetViews>
  <sheetFormatPr defaultColWidth="10.88671875" defaultRowHeight="15" x14ac:dyDescent="0.2"/>
  <cols>
    <col min="1" max="5" width="18.77734375" customWidth="1"/>
    <col min="6" max="6" width="50.77734375" customWidth="1"/>
  </cols>
  <sheetData>
    <row r="1" spans="1:6" ht="19.5" x14ac:dyDescent="0.3">
      <c r="A1" s="2" t="s">
        <v>262</v>
      </c>
    </row>
    <row r="2" spans="1:6" x14ac:dyDescent="0.2">
      <c r="A2" t="s">
        <v>162</v>
      </c>
    </row>
    <row r="3" spans="1:6" x14ac:dyDescent="0.2">
      <c r="A3" t="s">
        <v>163</v>
      </c>
    </row>
    <row r="4" spans="1:6" x14ac:dyDescent="0.2">
      <c r="A4" t="s">
        <v>164</v>
      </c>
    </row>
    <row r="5" spans="1:6" x14ac:dyDescent="0.2">
      <c r="A5" t="s">
        <v>165</v>
      </c>
    </row>
    <row r="6" spans="1:6" ht="15.75" x14ac:dyDescent="0.25">
      <c r="A6" s="3" t="s">
        <v>263</v>
      </c>
    </row>
    <row r="7" spans="1:6" ht="31.5" x14ac:dyDescent="0.25">
      <c r="A7" s="5" t="s">
        <v>167</v>
      </c>
      <c r="B7" s="6" t="s">
        <v>168</v>
      </c>
      <c r="C7" s="6" t="s">
        <v>169</v>
      </c>
      <c r="D7" s="6" t="s">
        <v>170</v>
      </c>
      <c r="E7" s="6" t="s">
        <v>171</v>
      </c>
      <c r="F7" s="6" t="s">
        <v>172</v>
      </c>
    </row>
    <row r="8" spans="1:6" x14ac:dyDescent="0.2">
      <c r="A8" s="9">
        <v>2016</v>
      </c>
      <c r="B8" s="7">
        <v>701000</v>
      </c>
      <c r="C8" s="8">
        <v>78</v>
      </c>
      <c r="D8" s="7">
        <v>486000</v>
      </c>
      <c r="E8" s="8">
        <v>54</v>
      </c>
      <c r="F8" s="7"/>
    </row>
    <row r="9" spans="1:6" x14ac:dyDescent="0.2">
      <c r="A9" s="9">
        <v>2017</v>
      </c>
      <c r="B9" s="7">
        <v>685000</v>
      </c>
      <c r="C9" s="8">
        <v>77.3</v>
      </c>
      <c r="D9" s="7">
        <v>498000</v>
      </c>
      <c r="E9" s="8">
        <v>56.2</v>
      </c>
      <c r="F9" s="7"/>
    </row>
    <row r="10" spans="1:6" x14ac:dyDescent="0.2">
      <c r="A10" s="9">
        <v>2018</v>
      </c>
      <c r="B10" s="7">
        <v>710000</v>
      </c>
      <c r="C10" s="8">
        <v>80.2</v>
      </c>
      <c r="D10" s="7">
        <v>521000</v>
      </c>
      <c r="E10" s="8">
        <v>58.8</v>
      </c>
      <c r="F10" s="7"/>
    </row>
    <row r="11" spans="1:6" x14ac:dyDescent="0.2">
      <c r="A11" s="9">
        <v>2019</v>
      </c>
      <c r="B11" s="7">
        <v>713000</v>
      </c>
      <c r="C11" s="8">
        <v>80.8</v>
      </c>
      <c r="D11" s="7">
        <v>534000</v>
      </c>
      <c r="E11" s="8">
        <v>60.5</v>
      </c>
      <c r="F11" s="7"/>
    </row>
    <row r="12" spans="1:6" x14ac:dyDescent="0.2">
      <c r="A12" s="9">
        <v>2020</v>
      </c>
      <c r="B12" s="7">
        <v>705000</v>
      </c>
      <c r="C12" s="8">
        <v>81.599999999999994</v>
      </c>
      <c r="D12" s="7">
        <v>528000</v>
      </c>
      <c r="E12" s="8">
        <v>61.1</v>
      </c>
      <c r="F12" s="7"/>
    </row>
    <row r="13" spans="1:6" x14ac:dyDescent="0.2">
      <c r="A13" s="9">
        <v>2021</v>
      </c>
      <c r="B13" s="7">
        <v>721000</v>
      </c>
      <c r="C13" s="8">
        <v>83.5</v>
      </c>
      <c r="D13" s="7">
        <v>567000</v>
      </c>
      <c r="E13" s="8">
        <v>65.599999999999994</v>
      </c>
      <c r="F13" s="7"/>
    </row>
    <row r="14" spans="1:6" x14ac:dyDescent="0.2">
      <c r="A14" s="9">
        <v>2022</v>
      </c>
      <c r="B14" s="7">
        <v>692000</v>
      </c>
      <c r="C14" s="8">
        <v>81.5</v>
      </c>
      <c r="D14" s="7">
        <v>531000</v>
      </c>
      <c r="E14" s="8">
        <v>62.6</v>
      </c>
      <c r="F14" s="7"/>
    </row>
    <row r="15" spans="1:6" x14ac:dyDescent="0.2">
      <c r="A15" s="9">
        <v>2023</v>
      </c>
      <c r="B15" s="7">
        <v>715000</v>
      </c>
      <c r="C15" s="8">
        <v>83.4</v>
      </c>
      <c r="D15" s="7">
        <v>552000</v>
      </c>
      <c r="E15" s="8">
        <v>64.400000000000006</v>
      </c>
      <c r="F15" s="7"/>
    </row>
    <row r="16" spans="1:6" x14ac:dyDescent="0.2">
      <c r="A16" s="9"/>
      <c r="B16" s="7"/>
      <c r="C16" s="8"/>
      <c r="D16" s="7"/>
      <c r="E16" s="8"/>
      <c r="F16" s="7"/>
    </row>
    <row r="17" spans="1:6" ht="15.75" x14ac:dyDescent="0.25">
      <c r="A17" s="3" t="s">
        <v>264</v>
      </c>
    </row>
    <row r="18" spans="1:6" ht="31.5" x14ac:dyDescent="0.25">
      <c r="A18" s="5" t="s">
        <v>167</v>
      </c>
      <c r="B18" s="6" t="s">
        <v>168</v>
      </c>
      <c r="C18" s="6" t="s">
        <v>169</v>
      </c>
      <c r="D18" s="6" t="s">
        <v>170</v>
      </c>
      <c r="E18" s="6" t="s">
        <v>171</v>
      </c>
      <c r="F18" s="6" t="s">
        <v>172</v>
      </c>
    </row>
    <row r="19" spans="1:6" x14ac:dyDescent="0.2">
      <c r="A19" s="9">
        <v>2016</v>
      </c>
      <c r="B19" s="7">
        <v>51000</v>
      </c>
      <c r="C19" s="8">
        <v>73.7</v>
      </c>
      <c r="D19" s="7">
        <v>36000</v>
      </c>
      <c r="E19" s="8">
        <v>51.5</v>
      </c>
      <c r="F19" s="7"/>
    </row>
    <row r="20" spans="1:6" x14ac:dyDescent="0.2">
      <c r="A20" s="9">
        <v>2017</v>
      </c>
      <c r="B20" s="7">
        <v>57000</v>
      </c>
      <c r="C20" s="8">
        <v>83.7</v>
      </c>
      <c r="D20" s="7">
        <v>41000</v>
      </c>
      <c r="E20" s="8">
        <v>60.4</v>
      </c>
      <c r="F20" s="7"/>
    </row>
    <row r="21" spans="1:6" x14ac:dyDescent="0.2">
      <c r="A21" s="9">
        <v>2018</v>
      </c>
      <c r="B21" s="7">
        <v>59000</v>
      </c>
      <c r="C21" s="8">
        <v>87.4</v>
      </c>
      <c r="D21" s="7">
        <v>40000</v>
      </c>
      <c r="E21" s="8">
        <v>59.5</v>
      </c>
      <c r="F21" s="7"/>
    </row>
    <row r="22" spans="1:6" x14ac:dyDescent="0.2">
      <c r="A22" s="9">
        <v>2019</v>
      </c>
      <c r="B22" s="7">
        <v>62000</v>
      </c>
      <c r="C22" s="8">
        <v>85.9</v>
      </c>
      <c r="D22" s="7">
        <v>47000</v>
      </c>
      <c r="E22" s="8">
        <v>65</v>
      </c>
      <c r="F22" s="7"/>
    </row>
    <row r="23" spans="1:6" x14ac:dyDescent="0.2">
      <c r="A23" s="9">
        <v>2020</v>
      </c>
      <c r="B23" s="7">
        <v>58000</v>
      </c>
      <c r="C23" s="8">
        <v>85.1</v>
      </c>
      <c r="D23" s="7">
        <v>43000</v>
      </c>
      <c r="E23" s="8">
        <v>62.7</v>
      </c>
      <c r="F23" s="7"/>
    </row>
    <row r="24" spans="1:6" x14ac:dyDescent="0.2">
      <c r="A24" s="9">
        <v>2021</v>
      </c>
      <c r="B24" s="7">
        <v>59000</v>
      </c>
      <c r="C24" s="8">
        <v>90.8</v>
      </c>
      <c r="D24" s="7">
        <v>45000</v>
      </c>
      <c r="E24" s="8">
        <v>69.3</v>
      </c>
      <c r="F24" s="7"/>
    </row>
    <row r="25" spans="1:6" x14ac:dyDescent="0.2">
      <c r="A25" s="9">
        <v>2022</v>
      </c>
      <c r="B25" s="7">
        <v>55000</v>
      </c>
      <c r="C25" s="8">
        <v>82.4</v>
      </c>
      <c r="D25" s="7">
        <v>41000</v>
      </c>
      <c r="E25" s="8">
        <v>61.4</v>
      </c>
      <c r="F25" s="7"/>
    </row>
    <row r="26" spans="1:6" x14ac:dyDescent="0.2">
      <c r="A26" s="9">
        <v>2023</v>
      </c>
      <c r="B26" s="7">
        <v>61000</v>
      </c>
      <c r="C26" s="8">
        <v>88</v>
      </c>
      <c r="D26" s="7">
        <v>45000</v>
      </c>
      <c r="E26" s="8">
        <v>65</v>
      </c>
      <c r="F26" s="7"/>
    </row>
    <row r="27" spans="1:6" x14ac:dyDescent="0.2">
      <c r="A27" s="9"/>
      <c r="B27" s="7"/>
      <c r="C27" s="8"/>
      <c r="D27" s="7"/>
      <c r="E27" s="8"/>
      <c r="F27" s="7"/>
    </row>
    <row r="28" spans="1:6" ht="15.75" x14ac:dyDescent="0.25">
      <c r="A28" s="3" t="s">
        <v>265</v>
      </c>
    </row>
    <row r="29" spans="1:6" ht="31.5" x14ac:dyDescent="0.25">
      <c r="A29" s="5" t="s">
        <v>167</v>
      </c>
      <c r="B29" s="6" t="s">
        <v>168</v>
      </c>
      <c r="C29" s="6" t="s">
        <v>169</v>
      </c>
      <c r="D29" s="6" t="s">
        <v>170</v>
      </c>
      <c r="E29" s="6" t="s">
        <v>171</v>
      </c>
      <c r="F29" s="6" t="s">
        <v>172</v>
      </c>
    </row>
    <row r="30" spans="1:6" x14ac:dyDescent="0.2">
      <c r="A30" s="9">
        <v>2016</v>
      </c>
      <c r="B30" s="7">
        <v>60000</v>
      </c>
      <c r="C30" s="8">
        <v>79.2</v>
      </c>
      <c r="D30" s="7">
        <v>43000</v>
      </c>
      <c r="E30" s="8">
        <v>57.4</v>
      </c>
      <c r="F30" s="7"/>
    </row>
    <row r="31" spans="1:6" x14ac:dyDescent="0.2">
      <c r="A31" s="9">
        <v>2017</v>
      </c>
      <c r="B31" s="7">
        <v>63000</v>
      </c>
      <c r="C31" s="8">
        <v>77.400000000000006</v>
      </c>
      <c r="D31" s="7">
        <v>46000</v>
      </c>
      <c r="E31" s="8">
        <v>56.7</v>
      </c>
      <c r="F31" s="7"/>
    </row>
    <row r="32" spans="1:6" x14ac:dyDescent="0.2">
      <c r="A32" s="9">
        <v>2018</v>
      </c>
      <c r="B32" s="7">
        <v>65000</v>
      </c>
      <c r="C32" s="8">
        <v>81.099999999999994</v>
      </c>
      <c r="D32" s="7">
        <v>47000</v>
      </c>
      <c r="E32" s="8">
        <v>58.8</v>
      </c>
      <c r="F32" s="7"/>
    </row>
    <row r="33" spans="1:6" x14ac:dyDescent="0.2">
      <c r="A33" s="9">
        <v>2019</v>
      </c>
      <c r="B33" s="7">
        <v>68000</v>
      </c>
      <c r="C33" s="8">
        <v>88</v>
      </c>
      <c r="D33" s="7">
        <v>51000</v>
      </c>
      <c r="E33" s="8">
        <v>65.8</v>
      </c>
      <c r="F33" s="7"/>
    </row>
    <row r="34" spans="1:6" x14ac:dyDescent="0.2">
      <c r="A34" s="9">
        <v>2020</v>
      </c>
      <c r="B34" s="7">
        <v>62000</v>
      </c>
      <c r="C34" s="8">
        <v>86.7</v>
      </c>
      <c r="D34" s="7">
        <v>46000</v>
      </c>
      <c r="E34" s="8">
        <v>64.3</v>
      </c>
      <c r="F34" s="7"/>
    </row>
    <row r="35" spans="1:6" x14ac:dyDescent="0.2">
      <c r="A35" s="9">
        <v>2021</v>
      </c>
      <c r="B35" s="7">
        <v>63000</v>
      </c>
      <c r="C35" s="8">
        <v>86.8</v>
      </c>
      <c r="D35" s="7">
        <v>48000</v>
      </c>
      <c r="E35" s="8">
        <v>65.400000000000006</v>
      </c>
      <c r="F35" s="7"/>
    </row>
    <row r="36" spans="1:6" x14ac:dyDescent="0.2">
      <c r="A36" s="9">
        <v>2022</v>
      </c>
      <c r="B36" s="7">
        <v>65000</v>
      </c>
      <c r="C36" s="8">
        <v>86.7</v>
      </c>
      <c r="D36" s="7">
        <v>48000</v>
      </c>
      <c r="E36" s="8">
        <v>64.900000000000006</v>
      </c>
      <c r="F36" s="7"/>
    </row>
    <row r="37" spans="1:6" x14ac:dyDescent="0.2">
      <c r="A37" s="9">
        <v>2023</v>
      </c>
      <c r="B37" s="7">
        <v>66000</v>
      </c>
      <c r="C37" s="8">
        <v>87.5</v>
      </c>
      <c r="D37" s="7">
        <v>52000</v>
      </c>
      <c r="E37" s="8">
        <v>69.400000000000006</v>
      </c>
      <c r="F37" s="7"/>
    </row>
    <row r="38" spans="1:6" x14ac:dyDescent="0.2">
      <c r="A38" s="9"/>
      <c r="B38" s="7"/>
      <c r="C38" s="8"/>
      <c r="D38" s="7"/>
      <c r="E38" s="8"/>
      <c r="F38" s="7"/>
    </row>
    <row r="39" spans="1:6" ht="15.75" x14ac:dyDescent="0.25">
      <c r="A39" s="3" t="s">
        <v>266</v>
      </c>
    </row>
    <row r="40" spans="1:6" ht="31.5" x14ac:dyDescent="0.25">
      <c r="A40" s="5" t="s">
        <v>167</v>
      </c>
      <c r="B40" s="6" t="s">
        <v>168</v>
      </c>
      <c r="C40" s="6" t="s">
        <v>169</v>
      </c>
      <c r="D40" s="6" t="s">
        <v>170</v>
      </c>
      <c r="E40" s="6" t="s">
        <v>171</v>
      </c>
      <c r="F40" s="6" t="s">
        <v>172</v>
      </c>
    </row>
    <row r="41" spans="1:6" x14ac:dyDescent="0.2">
      <c r="A41" s="9">
        <v>2016</v>
      </c>
      <c r="B41" s="7">
        <v>77000</v>
      </c>
      <c r="C41" s="8">
        <v>75.8</v>
      </c>
      <c r="D41" s="7">
        <v>50000</v>
      </c>
      <c r="E41" s="8">
        <v>48.9</v>
      </c>
      <c r="F41" s="7"/>
    </row>
    <row r="42" spans="1:6" x14ac:dyDescent="0.2">
      <c r="A42" s="9">
        <v>2017</v>
      </c>
      <c r="B42" s="7">
        <v>77000</v>
      </c>
      <c r="C42" s="8">
        <v>79.8</v>
      </c>
      <c r="D42" s="7">
        <v>55000</v>
      </c>
      <c r="E42" s="8">
        <v>56.6</v>
      </c>
      <c r="F42" s="7"/>
    </row>
    <row r="43" spans="1:6" x14ac:dyDescent="0.2">
      <c r="A43" s="9">
        <v>2018</v>
      </c>
      <c r="B43" s="7">
        <v>81000</v>
      </c>
      <c r="C43" s="8">
        <v>78.3</v>
      </c>
      <c r="D43" s="7">
        <v>58000</v>
      </c>
      <c r="E43" s="8">
        <v>56.3</v>
      </c>
      <c r="F43" s="7"/>
    </row>
    <row r="44" spans="1:6" x14ac:dyDescent="0.2">
      <c r="A44" s="9">
        <v>2019</v>
      </c>
      <c r="B44" s="7">
        <v>78000</v>
      </c>
      <c r="C44" s="8">
        <v>78.3</v>
      </c>
      <c r="D44" s="7">
        <v>54000</v>
      </c>
      <c r="E44" s="8">
        <v>54.9</v>
      </c>
      <c r="F44" s="7"/>
    </row>
    <row r="45" spans="1:6" x14ac:dyDescent="0.2">
      <c r="A45" s="9">
        <v>2020</v>
      </c>
      <c r="B45" s="7">
        <v>78000</v>
      </c>
      <c r="C45" s="8">
        <v>81.2</v>
      </c>
      <c r="D45" s="7">
        <v>59000</v>
      </c>
      <c r="E45" s="8">
        <v>60.6</v>
      </c>
      <c r="F45" s="7"/>
    </row>
    <row r="46" spans="1:6" x14ac:dyDescent="0.2">
      <c r="A46" s="9">
        <v>2021</v>
      </c>
      <c r="B46" s="7">
        <v>82000</v>
      </c>
      <c r="C46" s="8">
        <v>82</v>
      </c>
      <c r="D46" s="7">
        <v>62000</v>
      </c>
      <c r="E46" s="8">
        <v>62.2</v>
      </c>
      <c r="F46" s="7"/>
    </row>
    <row r="47" spans="1:6" x14ac:dyDescent="0.2">
      <c r="A47" s="9">
        <v>2022</v>
      </c>
      <c r="B47" s="7">
        <v>83000</v>
      </c>
      <c r="C47" s="8">
        <v>81.900000000000006</v>
      </c>
      <c r="D47" s="7">
        <v>60000</v>
      </c>
      <c r="E47" s="8">
        <v>59.8</v>
      </c>
      <c r="F47" s="7"/>
    </row>
    <row r="48" spans="1:6" x14ac:dyDescent="0.2">
      <c r="A48" s="9">
        <v>2023</v>
      </c>
      <c r="B48" s="7">
        <v>87000</v>
      </c>
      <c r="C48" s="8">
        <v>82.7</v>
      </c>
      <c r="D48" s="7">
        <v>67000</v>
      </c>
      <c r="E48" s="8">
        <v>63.6</v>
      </c>
      <c r="F48" s="7"/>
    </row>
    <row r="49" spans="1:6" x14ac:dyDescent="0.2">
      <c r="A49" s="9"/>
      <c r="B49" s="7"/>
      <c r="C49" s="8"/>
      <c r="D49" s="7"/>
      <c r="E49" s="8"/>
      <c r="F49" s="7"/>
    </row>
    <row r="50" spans="1:6" ht="15.75" x14ac:dyDescent="0.25">
      <c r="A50" s="3" t="s">
        <v>267</v>
      </c>
    </row>
    <row r="51" spans="1:6" ht="31.5" x14ac:dyDescent="0.25">
      <c r="A51" s="5" t="s">
        <v>167</v>
      </c>
      <c r="B51" s="6" t="s">
        <v>168</v>
      </c>
      <c r="C51" s="6" t="s">
        <v>169</v>
      </c>
      <c r="D51" s="6" t="s">
        <v>170</v>
      </c>
      <c r="E51" s="6" t="s">
        <v>171</v>
      </c>
      <c r="F51" s="6" t="s">
        <v>172</v>
      </c>
    </row>
    <row r="52" spans="1:6" x14ac:dyDescent="0.2">
      <c r="A52" s="9">
        <v>2016</v>
      </c>
      <c r="B52" s="7">
        <v>129000</v>
      </c>
      <c r="C52" s="8">
        <v>79.3</v>
      </c>
      <c r="D52" s="7">
        <v>94000</v>
      </c>
      <c r="E52" s="8">
        <v>57.8</v>
      </c>
      <c r="F52" s="7"/>
    </row>
    <row r="53" spans="1:6" x14ac:dyDescent="0.2">
      <c r="A53" s="9">
        <v>2017</v>
      </c>
      <c r="B53" s="7">
        <v>118000</v>
      </c>
      <c r="C53" s="8">
        <v>74.8</v>
      </c>
      <c r="D53" s="7">
        <v>94000</v>
      </c>
      <c r="E53" s="8">
        <v>59.6</v>
      </c>
      <c r="F53" s="7"/>
    </row>
    <row r="54" spans="1:6" x14ac:dyDescent="0.2">
      <c r="A54" s="9">
        <v>2018</v>
      </c>
      <c r="B54" s="7">
        <v>133000</v>
      </c>
      <c r="C54" s="8">
        <v>80.900000000000006</v>
      </c>
      <c r="D54" s="7">
        <v>103000</v>
      </c>
      <c r="E54" s="8">
        <v>62.9</v>
      </c>
      <c r="F54" s="7"/>
    </row>
    <row r="55" spans="1:6" x14ac:dyDescent="0.2">
      <c r="A55" s="9">
        <v>2019</v>
      </c>
      <c r="B55" s="7">
        <v>116000</v>
      </c>
      <c r="C55" s="8">
        <v>75.2</v>
      </c>
      <c r="D55" s="7">
        <v>89000</v>
      </c>
      <c r="E55" s="8">
        <v>57.7</v>
      </c>
      <c r="F55" s="7"/>
    </row>
    <row r="56" spans="1:6" x14ac:dyDescent="0.2">
      <c r="A56" s="9">
        <v>2020</v>
      </c>
      <c r="B56" s="7">
        <v>120000</v>
      </c>
      <c r="C56" s="8">
        <v>78.400000000000006</v>
      </c>
      <c r="D56" s="7">
        <v>94000</v>
      </c>
      <c r="E56" s="8">
        <v>61.2</v>
      </c>
      <c r="F56" s="7"/>
    </row>
    <row r="57" spans="1:6" x14ac:dyDescent="0.2">
      <c r="A57" s="9">
        <v>2021</v>
      </c>
      <c r="B57" s="7">
        <v>122000</v>
      </c>
      <c r="C57" s="8">
        <v>82.7</v>
      </c>
      <c r="D57" s="7">
        <v>103000</v>
      </c>
      <c r="E57" s="8">
        <v>69.599999999999994</v>
      </c>
      <c r="F57" s="7"/>
    </row>
    <row r="58" spans="1:6" x14ac:dyDescent="0.2">
      <c r="A58" s="9">
        <v>2022</v>
      </c>
      <c r="B58" s="7">
        <v>120000</v>
      </c>
      <c r="C58" s="8">
        <v>81.8</v>
      </c>
      <c r="D58" s="7">
        <v>95000</v>
      </c>
      <c r="E58" s="8">
        <v>65</v>
      </c>
      <c r="F58" s="7"/>
    </row>
    <row r="59" spans="1:6" x14ac:dyDescent="0.2">
      <c r="A59" s="9">
        <v>2023</v>
      </c>
      <c r="B59" s="7">
        <v>117000</v>
      </c>
      <c r="C59" s="8">
        <v>80.5</v>
      </c>
      <c r="D59" s="7">
        <v>92000</v>
      </c>
      <c r="E59" s="8">
        <v>63.5</v>
      </c>
      <c r="F59" s="7"/>
    </row>
    <row r="60" spans="1:6" x14ac:dyDescent="0.2">
      <c r="A60" s="9"/>
      <c r="B60" s="7"/>
      <c r="C60" s="8"/>
      <c r="D60" s="7"/>
      <c r="E60" s="8"/>
      <c r="F60" s="7"/>
    </row>
    <row r="61" spans="1:6" ht="15.75" x14ac:dyDescent="0.25">
      <c r="A61" s="3" t="s">
        <v>268</v>
      </c>
    </row>
    <row r="62" spans="1:6" ht="31.5" x14ac:dyDescent="0.25">
      <c r="A62" s="5" t="s">
        <v>167</v>
      </c>
      <c r="B62" s="6" t="s">
        <v>168</v>
      </c>
      <c r="C62" s="6" t="s">
        <v>169</v>
      </c>
      <c r="D62" s="6" t="s">
        <v>170</v>
      </c>
      <c r="E62" s="6" t="s">
        <v>171</v>
      </c>
      <c r="F62" s="6" t="s">
        <v>172</v>
      </c>
    </row>
    <row r="63" spans="1:6" x14ac:dyDescent="0.2">
      <c r="A63" s="9">
        <v>2016</v>
      </c>
      <c r="B63" s="7">
        <v>52000</v>
      </c>
      <c r="C63" s="8">
        <v>79.099999999999994</v>
      </c>
      <c r="D63" s="7">
        <v>31000</v>
      </c>
      <c r="E63" s="8">
        <v>46.7</v>
      </c>
      <c r="F63" s="7"/>
    </row>
    <row r="64" spans="1:6" x14ac:dyDescent="0.2">
      <c r="A64" s="9">
        <v>2017</v>
      </c>
      <c r="B64" s="7">
        <v>48000</v>
      </c>
      <c r="C64" s="8">
        <v>78.099999999999994</v>
      </c>
      <c r="D64" s="7">
        <v>30000</v>
      </c>
      <c r="E64" s="8">
        <v>48.3</v>
      </c>
      <c r="F64" s="7"/>
    </row>
    <row r="65" spans="1:6" x14ac:dyDescent="0.2">
      <c r="A65" s="9">
        <v>2018</v>
      </c>
      <c r="B65" s="7">
        <v>47000</v>
      </c>
      <c r="C65" s="8">
        <v>78.8</v>
      </c>
      <c r="D65" s="7">
        <v>33000</v>
      </c>
      <c r="E65" s="8">
        <v>56.2</v>
      </c>
      <c r="F65" s="7"/>
    </row>
    <row r="66" spans="1:6" x14ac:dyDescent="0.2">
      <c r="A66" s="9">
        <v>2019</v>
      </c>
      <c r="B66" s="7">
        <v>47000</v>
      </c>
      <c r="C66" s="8">
        <v>76.400000000000006</v>
      </c>
      <c r="D66" s="7">
        <v>34000</v>
      </c>
      <c r="E66" s="8">
        <v>56.3</v>
      </c>
      <c r="F66" s="7"/>
    </row>
    <row r="67" spans="1:6" x14ac:dyDescent="0.2">
      <c r="A67" s="9">
        <v>2020</v>
      </c>
      <c r="B67" s="7">
        <v>45000</v>
      </c>
      <c r="C67" s="8">
        <v>71.8</v>
      </c>
      <c r="D67" s="7">
        <v>35000</v>
      </c>
      <c r="E67" s="8">
        <v>54.8</v>
      </c>
      <c r="F67" s="7"/>
    </row>
    <row r="68" spans="1:6" x14ac:dyDescent="0.2">
      <c r="A68" s="9">
        <v>2021</v>
      </c>
      <c r="B68" s="7">
        <v>53000</v>
      </c>
      <c r="C68" s="8">
        <v>82.3</v>
      </c>
      <c r="D68" s="7">
        <v>39000</v>
      </c>
      <c r="E68" s="8">
        <v>60.9</v>
      </c>
      <c r="F68" s="7"/>
    </row>
    <row r="69" spans="1:6" x14ac:dyDescent="0.2">
      <c r="A69" s="9">
        <v>2022</v>
      </c>
      <c r="B69" s="7">
        <v>41000</v>
      </c>
      <c r="C69" s="8">
        <v>72.400000000000006</v>
      </c>
      <c r="D69" s="7">
        <v>31000</v>
      </c>
      <c r="E69" s="8">
        <v>54.5</v>
      </c>
      <c r="F69" s="7"/>
    </row>
    <row r="70" spans="1:6" x14ac:dyDescent="0.2">
      <c r="A70" s="9">
        <v>2023</v>
      </c>
      <c r="B70" s="7">
        <v>41000</v>
      </c>
      <c r="C70" s="8">
        <v>78.2</v>
      </c>
      <c r="D70" s="7">
        <v>30000</v>
      </c>
      <c r="E70" s="8">
        <v>57.6</v>
      </c>
      <c r="F70" s="7"/>
    </row>
    <row r="71" spans="1:6" x14ac:dyDescent="0.2">
      <c r="A71" s="9"/>
      <c r="B71" s="7"/>
      <c r="C71" s="8"/>
      <c r="D71" s="7"/>
      <c r="E71" s="8"/>
      <c r="F71" s="7"/>
    </row>
    <row r="72" spans="1:6" ht="15.75" x14ac:dyDescent="0.25">
      <c r="A72" s="3" t="s">
        <v>269</v>
      </c>
    </row>
    <row r="73" spans="1:6" ht="31.5" x14ac:dyDescent="0.25">
      <c r="A73" s="5" t="s">
        <v>167</v>
      </c>
      <c r="B73" s="6" t="s">
        <v>168</v>
      </c>
      <c r="C73" s="6" t="s">
        <v>169</v>
      </c>
      <c r="D73" s="6" t="s">
        <v>170</v>
      </c>
      <c r="E73" s="6" t="s">
        <v>171</v>
      </c>
      <c r="F73" s="6" t="s">
        <v>172</v>
      </c>
    </row>
    <row r="74" spans="1:6" x14ac:dyDescent="0.2">
      <c r="A74" s="9">
        <v>2016</v>
      </c>
      <c r="B74" s="7">
        <v>49000</v>
      </c>
      <c r="C74" s="8">
        <v>71.3</v>
      </c>
      <c r="D74" s="7">
        <v>33000</v>
      </c>
      <c r="E74" s="8">
        <v>48.8</v>
      </c>
      <c r="F74" s="7"/>
    </row>
    <row r="75" spans="1:6" x14ac:dyDescent="0.2">
      <c r="A75" s="9">
        <v>2017</v>
      </c>
      <c r="B75" s="7">
        <v>49000</v>
      </c>
      <c r="C75" s="8">
        <v>77.599999999999994</v>
      </c>
      <c r="D75" s="7">
        <v>35000</v>
      </c>
      <c r="E75" s="8">
        <v>54.9</v>
      </c>
      <c r="F75" s="7"/>
    </row>
    <row r="76" spans="1:6" x14ac:dyDescent="0.2">
      <c r="A76" s="9">
        <v>2018</v>
      </c>
      <c r="B76" s="7">
        <v>54000</v>
      </c>
      <c r="C76" s="8">
        <v>79.3</v>
      </c>
      <c r="D76" s="7">
        <v>40000</v>
      </c>
      <c r="E76" s="8">
        <v>58.4</v>
      </c>
      <c r="F76" s="7"/>
    </row>
    <row r="77" spans="1:6" x14ac:dyDescent="0.2">
      <c r="A77" s="9">
        <v>2019</v>
      </c>
      <c r="B77" s="7">
        <v>52000</v>
      </c>
      <c r="C77" s="8">
        <v>77.8</v>
      </c>
      <c r="D77" s="7">
        <v>37000</v>
      </c>
      <c r="E77" s="8">
        <v>55.5</v>
      </c>
      <c r="F77" s="7"/>
    </row>
    <row r="78" spans="1:6" x14ac:dyDescent="0.2">
      <c r="A78" s="9">
        <v>2020</v>
      </c>
      <c r="B78" s="7">
        <v>45000</v>
      </c>
      <c r="C78" s="8">
        <v>73.900000000000006</v>
      </c>
      <c r="D78" s="7">
        <v>32000</v>
      </c>
      <c r="E78" s="8">
        <v>52.2</v>
      </c>
      <c r="F78" s="7"/>
    </row>
    <row r="79" spans="1:6" x14ac:dyDescent="0.2">
      <c r="A79" s="9">
        <v>2021</v>
      </c>
      <c r="B79" s="7">
        <v>51000</v>
      </c>
      <c r="C79" s="8">
        <v>81.5</v>
      </c>
      <c r="D79" s="7">
        <v>41000</v>
      </c>
      <c r="E79" s="8">
        <v>64.900000000000006</v>
      </c>
      <c r="F79" s="7"/>
    </row>
    <row r="80" spans="1:6" x14ac:dyDescent="0.2">
      <c r="A80" s="9">
        <v>2022</v>
      </c>
      <c r="B80" s="7">
        <v>51000</v>
      </c>
      <c r="C80" s="8">
        <v>81.3</v>
      </c>
      <c r="D80" s="7">
        <v>40000</v>
      </c>
      <c r="E80" s="8">
        <v>64</v>
      </c>
      <c r="F80" s="7"/>
    </row>
    <row r="81" spans="1:6" x14ac:dyDescent="0.2">
      <c r="A81" s="9">
        <v>2023</v>
      </c>
      <c r="B81" s="7">
        <v>47000</v>
      </c>
      <c r="C81" s="8">
        <v>80.900000000000006</v>
      </c>
      <c r="D81" s="7">
        <v>35000</v>
      </c>
      <c r="E81" s="8">
        <v>60.2</v>
      </c>
      <c r="F81" s="7"/>
    </row>
    <row r="82" spans="1:6" x14ac:dyDescent="0.2">
      <c r="A82" s="9"/>
      <c r="B82" s="7"/>
      <c r="C82" s="8"/>
      <c r="D82" s="7"/>
      <c r="E82" s="8"/>
      <c r="F82" s="7"/>
    </row>
    <row r="83" spans="1:6" ht="15.75" x14ac:dyDescent="0.25">
      <c r="A83" s="3" t="s">
        <v>270</v>
      </c>
    </row>
    <row r="84" spans="1:6" ht="31.5" x14ac:dyDescent="0.25">
      <c r="A84" s="5" t="s">
        <v>167</v>
      </c>
      <c r="B84" s="6" t="s">
        <v>168</v>
      </c>
      <c r="C84" s="6" t="s">
        <v>169</v>
      </c>
      <c r="D84" s="6" t="s">
        <v>170</v>
      </c>
      <c r="E84" s="6" t="s">
        <v>171</v>
      </c>
      <c r="F84" s="6" t="s">
        <v>172</v>
      </c>
    </row>
    <row r="85" spans="1:6" x14ac:dyDescent="0.2">
      <c r="A85" s="9">
        <v>2016</v>
      </c>
      <c r="B85" s="7">
        <v>43000</v>
      </c>
      <c r="C85" s="8">
        <v>78.900000000000006</v>
      </c>
      <c r="D85" s="7">
        <v>31000</v>
      </c>
      <c r="E85" s="8">
        <v>55.7</v>
      </c>
      <c r="F85" s="7"/>
    </row>
    <row r="86" spans="1:6" x14ac:dyDescent="0.2">
      <c r="A86" s="9">
        <v>2017</v>
      </c>
      <c r="B86" s="7">
        <v>44000</v>
      </c>
      <c r="C86" s="8">
        <v>83</v>
      </c>
      <c r="D86" s="7">
        <v>33000</v>
      </c>
      <c r="E86" s="8">
        <v>62.3</v>
      </c>
      <c r="F86" s="7"/>
    </row>
    <row r="87" spans="1:6" x14ac:dyDescent="0.2">
      <c r="A87" s="9">
        <v>2018</v>
      </c>
      <c r="B87" s="7">
        <v>46000</v>
      </c>
      <c r="C87" s="8">
        <v>82.6</v>
      </c>
      <c r="D87" s="7">
        <v>33000</v>
      </c>
      <c r="E87" s="8">
        <v>58.6</v>
      </c>
      <c r="F87" s="7"/>
    </row>
    <row r="88" spans="1:6" x14ac:dyDescent="0.2">
      <c r="A88" s="9">
        <v>2019</v>
      </c>
      <c r="B88" s="7">
        <v>43000</v>
      </c>
      <c r="C88" s="8">
        <v>77.5</v>
      </c>
      <c r="D88" s="7">
        <v>29000</v>
      </c>
      <c r="E88" s="8">
        <v>53.6</v>
      </c>
      <c r="F88" s="7"/>
    </row>
    <row r="89" spans="1:6" x14ac:dyDescent="0.2">
      <c r="A89" s="9">
        <v>2020</v>
      </c>
      <c r="B89" s="7">
        <v>43000</v>
      </c>
      <c r="C89" s="8">
        <v>81.099999999999994</v>
      </c>
      <c r="D89" s="7">
        <v>28000</v>
      </c>
      <c r="E89" s="8">
        <v>54.1</v>
      </c>
      <c r="F89" s="7"/>
    </row>
    <row r="90" spans="1:6" x14ac:dyDescent="0.2">
      <c r="A90" s="9">
        <v>2021</v>
      </c>
      <c r="B90" s="7">
        <v>40000</v>
      </c>
      <c r="C90" s="8">
        <v>77.2</v>
      </c>
      <c r="D90" s="7">
        <v>31000</v>
      </c>
      <c r="E90" s="8">
        <v>59.5</v>
      </c>
      <c r="F90" s="7"/>
    </row>
    <row r="91" spans="1:6" x14ac:dyDescent="0.2">
      <c r="A91" s="9">
        <v>2022</v>
      </c>
      <c r="B91" s="7">
        <v>37000</v>
      </c>
      <c r="C91" s="8">
        <v>80.599999999999994</v>
      </c>
      <c r="D91" s="7">
        <v>27000</v>
      </c>
      <c r="E91" s="8">
        <v>59.9</v>
      </c>
      <c r="F91" s="7"/>
    </row>
    <row r="92" spans="1:6" x14ac:dyDescent="0.2">
      <c r="A92" s="9">
        <v>2023</v>
      </c>
      <c r="B92" s="7">
        <v>43000</v>
      </c>
      <c r="C92" s="8">
        <v>85.7</v>
      </c>
      <c r="D92" s="7">
        <v>33000</v>
      </c>
      <c r="E92" s="8">
        <v>65.900000000000006</v>
      </c>
      <c r="F92" s="7"/>
    </row>
    <row r="93" spans="1:6" x14ac:dyDescent="0.2">
      <c r="A93" s="9"/>
      <c r="B93" s="7"/>
      <c r="C93" s="8"/>
      <c r="D93" s="7"/>
      <c r="E93" s="8"/>
      <c r="F93" s="7"/>
    </row>
    <row r="94" spans="1:6" ht="15.75" x14ac:dyDescent="0.25">
      <c r="A94" s="3" t="s">
        <v>271</v>
      </c>
    </row>
    <row r="95" spans="1:6" ht="31.5" x14ac:dyDescent="0.25">
      <c r="A95" s="5" t="s">
        <v>167</v>
      </c>
      <c r="B95" s="6" t="s">
        <v>168</v>
      </c>
      <c r="C95" s="6" t="s">
        <v>169</v>
      </c>
      <c r="D95" s="6" t="s">
        <v>170</v>
      </c>
      <c r="E95" s="6" t="s">
        <v>171</v>
      </c>
      <c r="F95" s="6" t="s">
        <v>172</v>
      </c>
    </row>
    <row r="96" spans="1:6" x14ac:dyDescent="0.2">
      <c r="A96" s="9">
        <v>2016</v>
      </c>
      <c r="B96" s="7">
        <v>61000</v>
      </c>
      <c r="C96" s="8">
        <v>81.400000000000006</v>
      </c>
      <c r="D96" s="7">
        <v>43000</v>
      </c>
      <c r="E96" s="8">
        <v>57</v>
      </c>
      <c r="F96" s="7"/>
    </row>
    <row r="97" spans="1:6" x14ac:dyDescent="0.2">
      <c r="A97" s="9">
        <v>2017</v>
      </c>
      <c r="B97" s="7">
        <v>62000</v>
      </c>
      <c r="C97" s="8">
        <v>83.3</v>
      </c>
      <c r="D97" s="7">
        <v>44000</v>
      </c>
      <c r="E97" s="8">
        <v>59.9</v>
      </c>
      <c r="F97" s="7"/>
    </row>
    <row r="98" spans="1:6" x14ac:dyDescent="0.2">
      <c r="A98" s="9">
        <v>2018</v>
      </c>
      <c r="B98" s="7">
        <v>62000</v>
      </c>
      <c r="C98" s="8">
        <v>87.9</v>
      </c>
      <c r="D98" s="7">
        <v>48000</v>
      </c>
      <c r="E98" s="8">
        <v>67.599999999999994</v>
      </c>
      <c r="F98" s="7"/>
    </row>
    <row r="99" spans="1:6" x14ac:dyDescent="0.2">
      <c r="A99" s="9">
        <v>2019</v>
      </c>
      <c r="B99" s="7">
        <v>66000</v>
      </c>
      <c r="C99" s="8">
        <v>91.2</v>
      </c>
      <c r="D99" s="7">
        <v>55000</v>
      </c>
      <c r="E99" s="8">
        <v>76.400000000000006</v>
      </c>
      <c r="F99" s="7"/>
    </row>
    <row r="100" spans="1:6" x14ac:dyDescent="0.2">
      <c r="A100" s="9">
        <v>2020</v>
      </c>
      <c r="B100" s="7">
        <v>63000</v>
      </c>
      <c r="C100" s="8">
        <v>89.7</v>
      </c>
      <c r="D100" s="7">
        <v>53000</v>
      </c>
      <c r="E100" s="8">
        <v>75.400000000000006</v>
      </c>
      <c r="F100" s="7"/>
    </row>
    <row r="101" spans="1:6" x14ac:dyDescent="0.2">
      <c r="A101" s="9">
        <v>2021</v>
      </c>
      <c r="B101" s="7">
        <v>67000</v>
      </c>
      <c r="C101" s="8">
        <v>87.7</v>
      </c>
      <c r="D101" s="7">
        <v>56000</v>
      </c>
      <c r="E101" s="8">
        <v>74.099999999999994</v>
      </c>
      <c r="F101" s="7"/>
    </row>
    <row r="102" spans="1:6" x14ac:dyDescent="0.2">
      <c r="A102" s="9">
        <v>2022</v>
      </c>
      <c r="B102" s="7">
        <v>60000</v>
      </c>
      <c r="C102" s="8">
        <v>78.599999999999994</v>
      </c>
      <c r="D102" s="7">
        <v>50000</v>
      </c>
      <c r="E102" s="8">
        <v>65.099999999999994</v>
      </c>
      <c r="F102" s="7"/>
    </row>
    <row r="103" spans="1:6" x14ac:dyDescent="0.2">
      <c r="A103" s="9">
        <v>2023</v>
      </c>
      <c r="B103" s="7">
        <v>59000</v>
      </c>
      <c r="C103" s="8">
        <v>82</v>
      </c>
      <c r="D103" s="7">
        <v>51000</v>
      </c>
      <c r="E103" s="8">
        <v>69.8</v>
      </c>
      <c r="F103" s="7"/>
    </row>
    <row r="104" spans="1:6" x14ac:dyDescent="0.2">
      <c r="A104" s="9"/>
      <c r="B104" s="7"/>
      <c r="C104" s="8"/>
      <c r="D104" s="7"/>
      <c r="E104" s="8"/>
      <c r="F104" s="7"/>
    </row>
    <row r="105" spans="1:6" ht="15.75" x14ac:dyDescent="0.25">
      <c r="A105" s="3" t="s">
        <v>285</v>
      </c>
    </row>
    <row r="106" spans="1:6" ht="31.5" x14ac:dyDescent="0.25">
      <c r="A106" s="5" t="s">
        <v>167</v>
      </c>
      <c r="B106" s="6" t="s">
        <v>168</v>
      </c>
      <c r="C106" s="6" t="s">
        <v>169</v>
      </c>
      <c r="D106" s="6" t="s">
        <v>170</v>
      </c>
      <c r="E106" s="6" t="s">
        <v>171</v>
      </c>
      <c r="F106" s="6" t="s">
        <v>172</v>
      </c>
    </row>
    <row r="107" spans="1:6" x14ac:dyDescent="0.2">
      <c r="A107" s="9">
        <v>2016</v>
      </c>
      <c r="B107" s="7">
        <v>55000</v>
      </c>
      <c r="C107" s="8">
        <v>82.5</v>
      </c>
      <c r="D107" s="7">
        <v>41000</v>
      </c>
      <c r="E107" s="8">
        <v>60.8</v>
      </c>
      <c r="F107" s="7"/>
    </row>
    <row r="108" spans="1:6" x14ac:dyDescent="0.2">
      <c r="A108" s="9">
        <v>2017</v>
      </c>
      <c r="B108" s="7">
        <v>47000</v>
      </c>
      <c r="C108" s="8">
        <v>72.099999999999994</v>
      </c>
      <c r="D108" s="7">
        <v>36000</v>
      </c>
      <c r="E108" s="8">
        <v>54.8</v>
      </c>
      <c r="F108" s="7"/>
    </row>
    <row r="109" spans="1:6" x14ac:dyDescent="0.2">
      <c r="A109" s="9">
        <v>2018</v>
      </c>
      <c r="B109" s="7">
        <v>48000</v>
      </c>
      <c r="C109" s="8">
        <v>77.599999999999994</v>
      </c>
      <c r="D109" s="7">
        <v>36000</v>
      </c>
      <c r="E109" s="8">
        <v>58.5</v>
      </c>
      <c r="F109" s="7"/>
    </row>
    <row r="110" spans="1:6" x14ac:dyDescent="0.2">
      <c r="A110" s="9">
        <v>2019</v>
      </c>
      <c r="B110" s="7">
        <v>54000</v>
      </c>
      <c r="C110" s="8">
        <v>84.1</v>
      </c>
      <c r="D110" s="7">
        <v>43000</v>
      </c>
      <c r="E110" s="8">
        <v>67.599999999999994</v>
      </c>
      <c r="F110" s="7"/>
    </row>
    <row r="111" spans="1:6" x14ac:dyDescent="0.2">
      <c r="A111" s="9">
        <v>2020</v>
      </c>
      <c r="B111" s="7">
        <v>52000</v>
      </c>
      <c r="C111" s="8">
        <v>85.3</v>
      </c>
      <c r="D111" s="7">
        <v>40000</v>
      </c>
      <c r="E111" s="8">
        <v>65.900000000000006</v>
      </c>
      <c r="F111" s="7"/>
    </row>
    <row r="112" spans="1:6" x14ac:dyDescent="0.2">
      <c r="A112" s="9">
        <v>2021</v>
      </c>
      <c r="B112" s="7">
        <v>50000</v>
      </c>
      <c r="C112" s="8">
        <v>78.3</v>
      </c>
      <c r="D112" s="7">
        <v>39000</v>
      </c>
      <c r="E112" s="8">
        <v>61.2</v>
      </c>
      <c r="F112" s="7"/>
    </row>
    <row r="113" spans="1:6" x14ac:dyDescent="0.2">
      <c r="A113" s="9">
        <v>2022</v>
      </c>
      <c r="B113" s="7">
        <v>54000</v>
      </c>
      <c r="C113" s="8">
        <v>84.5</v>
      </c>
      <c r="D113" s="7">
        <v>40000</v>
      </c>
      <c r="E113" s="8">
        <v>62.2</v>
      </c>
      <c r="F113" s="7"/>
    </row>
    <row r="114" spans="1:6" x14ac:dyDescent="0.2">
      <c r="A114" s="9">
        <v>2023</v>
      </c>
      <c r="B114" s="7">
        <v>56000</v>
      </c>
      <c r="C114" s="8">
        <v>87.5</v>
      </c>
      <c r="D114" s="7">
        <v>41000</v>
      </c>
      <c r="E114" s="8">
        <v>64.8</v>
      </c>
      <c r="F114" s="7"/>
    </row>
    <row r="115" spans="1:6" x14ac:dyDescent="0.2">
      <c r="A115" s="9"/>
      <c r="B115" s="7"/>
      <c r="C115" s="8"/>
      <c r="D115" s="7"/>
      <c r="E115" s="8"/>
      <c r="F115" s="7"/>
    </row>
    <row r="116" spans="1:6" ht="15.75" x14ac:dyDescent="0.25">
      <c r="A116" s="3" t="s">
        <v>294</v>
      </c>
    </row>
    <row r="117" spans="1:6" ht="31.5" x14ac:dyDescent="0.25">
      <c r="A117" s="5" t="s">
        <v>167</v>
      </c>
      <c r="B117" s="6" t="s">
        <v>168</v>
      </c>
      <c r="C117" s="6" t="s">
        <v>169</v>
      </c>
      <c r="D117" s="6" t="s">
        <v>170</v>
      </c>
      <c r="E117" s="6" t="s">
        <v>171</v>
      </c>
      <c r="F117" s="6" t="s">
        <v>172</v>
      </c>
    </row>
    <row r="118" spans="1:6" x14ac:dyDescent="0.2">
      <c r="A118" s="9">
        <v>2016</v>
      </c>
      <c r="B118" s="7">
        <v>53000</v>
      </c>
      <c r="C118" s="8">
        <v>77.2</v>
      </c>
      <c r="D118" s="7">
        <v>34000</v>
      </c>
      <c r="E118" s="8">
        <v>48.8</v>
      </c>
      <c r="F118" s="7"/>
    </row>
    <row r="119" spans="1:6" x14ac:dyDescent="0.2">
      <c r="A119" s="9">
        <v>2017</v>
      </c>
      <c r="B119" s="7">
        <v>53000</v>
      </c>
      <c r="C119" s="8">
        <v>73.3</v>
      </c>
      <c r="D119" s="7">
        <v>40000</v>
      </c>
      <c r="E119" s="8">
        <v>54.6</v>
      </c>
      <c r="F119" s="7"/>
    </row>
    <row r="120" spans="1:6" x14ac:dyDescent="0.2">
      <c r="A120" s="9">
        <v>2018</v>
      </c>
      <c r="B120" s="7">
        <v>50000</v>
      </c>
      <c r="C120" s="8">
        <v>71.3</v>
      </c>
      <c r="D120" s="7">
        <v>36000</v>
      </c>
      <c r="E120" s="8">
        <v>51.5</v>
      </c>
      <c r="F120" s="7"/>
    </row>
    <row r="121" spans="1:6" x14ac:dyDescent="0.2">
      <c r="A121" s="9">
        <v>2019</v>
      </c>
      <c r="B121" s="7">
        <v>55000</v>
      </c>
      <c r="C121" s="8">
        <v>76.400000000000006</v>
      </c>
      <c r="D121" s="7">
        <v>40000</v>
      </c>
      <c r="E121" s="8">
        <v>55.8</v>
      </c>
      <c r="F121" s="7"/>
    </row>
    <row r="122" spans="1:6" x14ac:dyDescent="0.2">
      <c r="A122" s="9">
        <v>2020</v>
      </c>
      <c r="B122" s="7">
        <v>63000</v>
      </c>
      <c r="C122" s="8">
        <v>81.2</v>
      </c>
      <c r="D122" s="7">
        <v>45000</v>
      </c>
      <c r="E122" s="8">
        <v>58.7</v>
      </c>
      <c r="F122" s="7"/>
    </row>
    <row r="123" spans="1:6" x14ac:dyDescent="0.2">
      <c r="A123" s="9">
        <v>2021</v>
      </c>
      <c r="B123" s="7">
        <v>63000</v>
      </c>
      <c r="C123" s="8">
        <v>85.5</v>
      </c>
      <c r="D123" s="7">
        <v>49000</v>
      </c>
      <c r="E123" s="8">
        <v>66.3</v>
      </c>
      <c r="F123" s="7"/>
    </row>
    <row r="124" spans="1:6" x14ac:dyDescent="0.2">
      <c r="A124" s="9">
        <v>2022</v>
      </c>
      <c r="B124" s="7">
        <v>59000</v>
      </c>
      <c r="C124" s="8">
        <v>81.400000000000006</v>
      </c>
      <c r="D124" s="7">
        <v>47000</v>
      </c>
      <c r="E124" s="8">
        <v>63.8</v>
      </c>
      <c r="F124" s="7"/>
    </row>
    <row r="125" spans="1:6" x14ac:dyDescent="0.2">
      <c r="A125" s="9">
        <v>2023</v>
      </c>
      <c r="B125" s="7">
        <v>59000</v>
      </c>
      <c r="C125" s="8">
        <v>79</v>
      </c>
      <c r="D125" s="7">
        <v>44000</v>
      </c>
      <c r="E125" s="8">
        <v>59.1</v>
      </c>
      <c r="F125" s="7"/>
    </row>
    <row r="126" spans="1:6" x14ac:dyDescent="0.2">
      <c r="A126" s="9"/>
      <c r="B126" s="7"/>
      <c r="C126" s="8"/>
      <c r="D126" s="7"/>
      <c r="E126" s="8"/>
      <c r="F126" s="7"/>
    </row>
    <row r="127" spans="1:6" ht="15.75" x14ac:dyDescent="0.25">
      <c r="A127" s="3" t="s">
        <v>272</v>
      </c>
    </row>
    <row r="128" spans="1:6" ht="31.5" x14ac:dyDescent="0.25">
      <c r="A128" s="5" t="s">
        <v>167</v>
      </c>
      <c r="B128" s="6" t="s">
        <v>168</v>
      </c>
      <c r="C128" s="6" t="s">
        <v>169</v>
      </c>
      <c r="D128" s="6" t="s">
        <v>170</v>
      </c>
      <c r="E128" s="6" t="s">
        <v>171</v>
      </c>
      <c r="F128" s="6" t="s">
        <v>172</v>
      </c>
    </row>
    <row r="129" spans="1:6" x14ac:dyDescent="0.2">
      <c r="A129" s="9">
        <v>2016</v>
      </c>
      <c r="B129" s="7">
        <v>69000</v>
      </c>
      <c r="C129" s="8">
        <v>78.2</v>
      </c>
      <c r="D129" s="7">
        <v>50000</v>
      </c>
      <c r="E129" s="8">
        <v>56.4</v>
      </c>
      <c r="F129" s="7"/>
    </row>
    <row r="130" spans="1:6" x14ac:dyDescent="0.2">
      <c r="A130" s="9">
        <v>2017</v>
      </c>
      <c r="B130" s="7">
        <v>66000</v>
      </c>
      <c r="C130" s="8">
        <v>72.3</v>
      </c>
      <c r="D130" s="7">
        <v>45000</v>
      </c>
      <c r="E130" s="8">
        <v>48.6</v>
      </c>
      <c r="F130" s="7"/>
    </row>
    <row r="131" spans="1:6" x14ac:dyDescent="0.2">
      <c r="A131" s="9">
        <v>2018</v>
      </c>
      <c r="B131" s="7">
        <v>66000</v>
      </c>
      <c r="C131" s="8">
        <v>77.2</v>
      </c>
      <c r="D131" s="7">
        <v>46000</v>
      </c>
      <c r="E131" s="8">
        <v>54.5</v>
      </c>
      <c r="F131" s="7"/>
    </row>
    <row r="132" spans="1:6" x14ac:dyDescent="0.2">
      <c r="A132" s="9">
        <v>2019</v>
      </c>
      <c r="B132" s="7">
        <v>72000</v>
      </c>
      <c r="C132" s="8">
        <v>83.1</v>
      </c>
      <c r="D132" s="7">
        <v>52000</v>
      </c>
      <c r="E132" s="8">
        <v>60.1</v>
      </c>
      <c r="F132" s="7"/>
    </row>
    <row r="133" spans="1:6" x14ac:dyDescent="0.2">
      <c r="A133" s="9">
        <v>2020</v>
      </c>
      <c r="B133" s="7">
        <v>75000</v>
      </c>
      <c r="C133" s="8">
        <v>84.5</v>
      </c>
      <c r="D133" s="7">
        <v>53000</v>
      </c>
      <c r="E133" s="8">
        <v>59.6</v>
      </c>
      <c r="F133" s="7"/>
    </row>
    <row r="134" spans="1:6" x14ac:dyDescent="0.2">
      <c r="A134" s="9">
        <v>2021</v>
      </c>
      <c r="B134" s="7">
        <v>71000</v>
      </c>
      <c r="C134" s="8">
        <v>82.8</v>
      </c>
      <c r="D134" s="7">
        <v>54000</v>
      </c>
      <c r="E134" s="8">
        <v>63.3</v>
      </c>
      <c r="F134" s="7"/>
    </row>
    <row r="135" spans="1:6" x14ac:dyDescent="0.2">
      <c r="A135" s="9">
        <v>2022</v>
      </c>
      <c r="B135" s="7">
        <v>68000</v>
      </c>
      <c r="C135" s="8">
        <v>82.7</v>
      </c>
      <c r="D135" s="7">
        <v>52000</v>
      </c>
      <c r="E135" s="8">
        <v>63.1</v>
      </c>
      <c r="F135" s="7"/>
    </row>
    <row r="136" spans="1:6" x14ac:dyDescent="0.2">
      <c r="A136" s="9">
        <v>2023</v>
      </c>
      <c r="B136" s="7">
        <v>77000</v>
      </c>
      <c r="C136" s="8">
        <v>86.9</v>
      </c>
      <c r="D136" s="7">
        <v>60000</v>
      </c>
      <c r="E136" s="8">
        <v>67.599999999999994</v>
      </c>
      <c r="F136" s="7"/>
    </row>
    <row r="137" spans="1:6" x14ac:dyDescent="0.2">
      <c r="A137" s="9"/>
      <c r="B137" s="7"/>
      <c r="C137" s="8"/>
      <c r="D137" s="7"/>
      <c r="E137" s="8"/>
      <c r="F137" s="7"/>
    </row>
  </sheetData>
  <pageMargins left="0.7" right="0.7" top="0.75" bottom="0.75" header="0.3" footer="0.3"/>
  <pageSetup paperSize="9" orientation="portrait" horizontalDpi="300" verticalDpi="300"/>
  <tableParts count="12">
    <tablePart r:id="rId1"/>
    <tablePart r:id="rId2"/>
    <tablePart r:id="rId3"/>
    <tablePart r:id="rId4"/>
    <tablePart r:id="rId5"/>
    <tablePart r:id="rId6"/>
    <tablePart r:id="rId7"/>
    <tablePart r:id="rId8"/>
    <tablePart r:id="rId9"/>
    <tablePart r:id="rId10"/>
    <tablePart r:id="rId11"/>
    <tablePart r:id="rId1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7"/>
  <sheetViews>
    <sheetView workbookViewId="0"/>
  </sheetViews>
  <sheetFormatPr defaultColWidth="10.88671875" defaultRowHeight="15" x14ac:dyDescent="0.2"/>
  <cols>
    <col min="1" max="5" width="18.77734375" customWidth="1"/>
    <col min="6" max="6" width="50.77734375" customWidth="1"/>
  </cols>
  <sheetData>
    <row r="1" spans="1:6" ht="19.5" x14ac:dyDescent="0.3">
      <c r="A1" s="2" t="s">
        <v>273</v>
      </c>
    </row>
    <row r="2" spans="1:6" x14ac:dyDescent="0.2">
      <c r="A2" t="s">
        <v>274</v>
      </c>
    </row>
    <row r="3" spans="1:6" x14ac:dyDescent="0.2">
      <c r="A3" t="s">
        <v>163</v>
      </c>
    </row>
    <row r="4" spans="1:6" x14ac:dyDescent="0.2">
      <c r="A4" t="s">
        <v>164</v>
      </c>
    </row>
    <row r="5" spans="1:6" x14ac:dyDescent="0.2">
      <c r="A5" t="s">
        <v>165</v>
      </c>
    </row>
    <row r="6" spans="1:6" ht="15.75" x14ac:dyDescent="0.25">
      <c r="A6" s="3" t="s">
        <v>275</v>
      </c>
    </row>
    <row r="7" spans="1:6" ht="31.5" x14ac:dyDescent="0.25">
      <c r="A7" s="5" t="s">
        <v>167</v>
      </c>
      <c r="B7" s="6" t="s">
        <v>168</v>
      </c>
      <c r="C7" s="6" t="s">
        <v>169</v>
      </c>
      <c r="D7" s="6" t="s">
        <v>170</v>
      </c>
      <c r="E7" s="6" t="s">
        <v>171</v>
      </c>
      <c r="F7" s="6" t="s">
        <v>172</v>
      </c>
    </row>
    <row r="8" spans="1:6" x14ac:dyDescent="0.2">
      <c r="A8" s="9">
        <v>2016</v>
      </c>
      <c r="B8" s="7">
        <v>123000</v>
      </c>
      <c r="C8" s="8">
        <v>58.3</v>
      </c>
      <c r="D8" s="7">
        <v>73000</v>
      </c>
      <c r="E8" s="8">
        <v>34.4</v>
      </c>
      <c r="F8" s="7"/>
    </row>
    <row r="9" spans="1:6" x14ac:dyDescent="0.2">
      <c r="A9" s="9">
        <v>2017</v>
      </c>
      <c r="B9" s="7">
        <v>115000</v>
      </c>
      <c r="C9" s="8">
        <v>54.4</v>
      </c>
      <c r="D9" s="7">
        <v>75000</v>
      </c>
      <c r="E9" s="8">
        <v>35.4</v>
      </c>
      <c r="F9" s="7"/>
    </row>
    <row r="10" spans="1:6" x14ac:dyDescent="0.2">
      <c r="A10" s="9">
        <v>2018</v>
      </c>
      <c r="B10" s="7">
        <v>114000</v>
      </c>
      <c r="C10" s="8">
        <v>58.7</v>
      </c>
      <c r="D10" s="7">
        <v>76000</v>
      </c>
      <c r="E10" s="8">
        <v>39</v>
      </c>
      <c r="F10" s="7"/>
    </row>
    <row r="11" spans="1:6" x14ac:dyDescent="0.2">
      <c r="A11" s="9">
        <v>2019</v>
      </c>
      <c r="B11" s="7">
        <v>117000</v>
      </c>
      <c r="C11" s="8">
        <v>58.5</v>
      </c>
      <c r="D11" s="7">
        <v>76000</v>
      </c>
      <c r="E11" s="8">
        <v>37.9</v>
      </c>
      <c r="F11" s="7"/>
    </row>
    <row r="12" spans="1:6" x14ac:dyDescent="0.2">
      <c r="A12" s="9">
        <v>2020</v>
      </c>
      <c r="B12" s="7">
        <v>132000</v>
      </c>
      <c r="C12" s="8">
        <v>64.3</v>
      </c>
      <c r="D12" s="7">
        <v>85000</v>
      </c>
      <c r="E12" s="8">
        <v>41.6</v>
      </c>
      <c r="F12" s="7"/>
    </row>
    <row r="13" spans="1:6" x14ac:dyDescent="0.2">
      <c r="A13" s="9">
        <v>2021</v>
      </c>
      <c r="B13" s="7">
        <v>127000</v>
      </c>
      <c r="C13" s="8">
        <v>66.400000000000006</v>
      </c>
      <c r="D13" s="7">
        <v>89000</v>
      </c>
      <c r="E13" s="8">
        <v>46.4</v>
      </c>
      <c r="F13" s="7"/>
    </row>
    <row r="14" spans="1:6" x14ac:dyDescent="0.2">
      <c r="A14" s="9">
        <v>2022</v>
      </c>
      <c r="B14" s="7">
        <v>115000</v>
      </c>
      <c r="C14" s="8">
        <v>61.5</v>
      </c>
      <c r="D14" s="7">
        <v>79000</v>
      </c>
      <c r="E14" s="8">
        <v>41.9</v>
      </c>
      <c r="F14" s="7"/>
    </row>
    <row r="15" spans="1:6" x14ac:dyDescent="0.2">
      <c r="A15" s="9">
        <v>2023</v>
      </c>
      <c r="B15" s="7">
        <v>127000</v>
      </c>
      <c r="C15" s="8">
        <v>63.2</v>
      </c>
      <c r="D15" s="7">
        <v>87000</v>
      </c>
      <c r="E15" s="8">
        <v>43.3</v>
      </c>
      <c r="F15" s="7"/>
    </row>
    <row r="16" spans="1:6" x14ac:dyDescent="0.2">
      <c r="A16" s="9"/>
      <c r="B16" s="7"/>
      <c r="C16" s="8"/>
      <c r="D16" s="7"/>
      <c r="E16" s="8"/>
      <c r="F16" s="7"/>
    </row>
    <row r="17" spans="1:6" ht="15.75" x14ac:dyDescent="0.25">
      <c r="A17" s="3" t="s">
        <v>276</v>
      </c>
    </row>
    <row r="18" spans="1:6" ht="31.5" x14ac:dyDescent="0.25">
      <c r="A18" s="5" t="s">
        <v>167</v>
      </c>
      <c r="B18" s="6" t="s">
        <v>168</v>
      </c>
      <c r="C18" s="6" t="s">
        <v>169</v>
      </c>
      <c r="D18" s="6" t="s">
        <v>170</v>
      </c>
      <c r="E18" s="6" t="s">
        <v>171</v>
      </c>
      <c r="F18" s="6" t="s">
        <v>172</v>
      </c>
    </row>
    <row r="19" spans="1:6" x14ac:dyDescent="0.2">
      <c r="A19" s="9">
        <v>2016</v>
      </c>
      <c r="B19" s="7">
        <v>169000</v>
      </c>
      <c r="C19" s="8">
        <v>84.3</v>
      </c>
      <c r="D19" s="7">
        <v>130000</v>
      </c>
      <c r="E19" s="8">
        <v>64.7</v>
      </c>
      <c r="F19" s="7"/>
    </row>
    <row r="20" spans="1:6" x14ac:dyDescent="0.2">
      <c r="A20" s="9">
        <v>2017</v>
      </c>
      <c r="B20" s="7">
        <v>174000</v>
      </c>
      <c r="C20" s="8">
        <v>83.6</v>
      </c>
      <c r="D20" s="7">
        <v>139000</v>
      </c>
      <c r="E20" s="8">
        <v>66.599999999999994</v>
      </c>
      <c r="F20" s="7"/>
    </row>
    <row r="21" spans="1:6" x14ac:dyDescent="0.2">
      <c r="A21" s="9">
        <v>2018</v>
      </c>
      <c r="B21" s="7">
        <v>196000</v>
      </c>
      <c r="C21" s="8">
        <v>84.3</v>
      </c>
      <c r="D21" s="7">
        <v>149000</v>
      </c>
      <c r="E21" s="8">
        <v>64.3</v>
      </c>
      <c r="F21" s="7"/>
    </row>
    <row r="22" spans="1:6" x14ac:dyDescent="0.2">
      <c r="A22" s="9">
        <v>2019</v>
      </c>
      <c r="B22" s="7">
        <v>208000</v>
      </c>
      <c r="C22" s="8">
        <v>88.8</v>
      </c>
      <c r="D22" s="7">
        <v>166000</v>
      </c>
      <c r="E22" s="8">
        <v>71.099999999999994</v>
      </c>
      <c r="F22" s="7"/>
    </row>
    <row r="23" spans="1:6" x14ac:dyDescent="0.2">
      <c r="A23" s="9">
        <v>2020</v>
      </c>
      <c r="B23" s="7">
        <v>197000</v>
      </c>
      <c r="C23" s="8">
        <v>88</v>
      </c>
      <c r="D23" s="7">
        <v>161000</v>
      </c>
      <c r="E23" s="8">
        <v>71.8</v>
      </c>
      <c r="F23" s="7"/>
    </row>
    <row r="24" spans="1:6" x14ac:dyDescent="0.2">
      <c r="A24" s="9">
        <v>2021</v>
      </c>
      <c r="B24" s="7">
        <v>205000</v>
      </c>
      <c r="C24" s="8">
        <v>87.9</v>
      </c>
      <c r="D24" s="7">
        <v>170000</v>
      </c>
      <c r="E24" s="8">
        <v>72.900000000000006</v>
      </c>
      <c r="F24" s="7"/>
    </row>
    <row r="25" spans="1:6" x14ac:dyDescent="0.2">
      <c r="A25" s="9">
        <v>2022</v>
      </c>
      <c r="B25" s="7">
        <v>186000</v>
      </c>
      <c r="C25" s="8">
        <v>85.4</v>
      </c>
      <c r="D25" s="7">
        <v>154000</v>
      </c>
      <c r="E25" s="8">
        <v>70.5</v>
      </c>
      <c r="F25" s="7"/>
    </row>
    <row r="26" spans="1:6" x14ac:dyDescent="0.2">
      <c r="A26" s="9">
        <v>2023</v>
      </c>
      <c r="B26" s="7">
        <v>190000</v>
      </c>
      <c r="C26" s="8">
        <v>87.1</v>
      </c>
      <c r="D26" s="7">
        <v>160000</v>
      </c>
      <c r="E26" s="8">
        <v>73.3</v>
      </c>
      <c r="F26" s="7"/>
    </row>
    <row r="27" spans="1:6" x14ac:dyDescent="0.2">
      <c r="A27" s="9"/>
      <c r="B27" s="7"/>
      <c r="C27" s="8"/>
      <c r="D27" s="7"/>
      <c r="E27" s="8"/>
      <c r="F27" s="7"/>
    </row>
  </sheetData>
  <pageMargins left="0.7" right="0.7" top="0.75" bottom="0.75" header="0.3" footer="0.3"/>
  <pageSetup paperSize="9" orientation="portrait" horizontalDpi="300" verticalDpi="300"/>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3"/>
  <sheetViews>
    <sheetView workbookViewId="0"/>
  </sheetViews>
  <sheetFormatPr defaultColWidth="10.88671875" defaultRowHeight="15" x14ac:dyDescent="0.2"/>
  <cols>
    <col min="1" max="1" width="30.77734375" customWidth="1"/>
    <col min="3" max="3" width="147.88671875" bestFit="1" customWidth="1"/>
  </cols>
  <sheetData>
    <row r="1" spans="1:3" ht="19.5" x14ac:dyDescent="0.3">
      <c r="A1" s="2" t="s">
        <v>27</v>
      </c>
    </row>
    <row r="2" spans="1:3" ht="15.75" x14ac:dyDescent="0.25">
      <c r="A2" s="5" t="s">
        <v>28</v>
      </c>
      <c r="B2" s="5" t="s">
        <v>29</v>
      </c>
      <c r="C2" s="5" t="s">
        <v>30</v>
      </c>
    </row>
    <row r="3" spans="1:3" x14ac:dyDescent="0.2">
      <c r="A3" t="s">
        <v>31</v>
      </c>
      <c r="B3" s="1" t="str">
        <f>HYPERLINK("#Notes!A7", "Notes")</f>
        <v>Notes</v>
      </c>
      <c r="C3" t="s">
        <v>32</v>
      </c>
    </row>
    <row r="4" spans="1:3" x14ac:dyDescent="0.2">
      <c r="A4" t="s">
        <v>33</v>
      </c>
      <c r="B4" s="1" t="str">
        <f>HYPERLINK("#NI!A7", "1a")</f>
        <v>1a</v>
      </c>
      <c r="C4" t="s">
        <v>34</v>
      </c>
    </row>
    <row r="5" spans="1:3" x14ac:dyDescent="0.2">
      <c r="A5" t="s">
        <v>33</v>
      </c>
      <c r="B5" s="1" t="str">
        <f>HYPERLINK("#NI!A18", "1b")</f>
        <v>1b</v>
      </c>
      <c r="C5" t="s">
        <v>35</v>
      </c>
    </row>
    <row r="6" spans="1:3" x14ac:dyDescent="0.2">
      <c r="A6" t="s">
        <v>33</v>
      </c>
      <c r="B6" s="1" t="str">
        <f>HYPERLINK("#NI!A29", "1c")</f>
        <v>1c</v>
      </c>
      <c r="C6" t="s">
        <v>36</v>
      </c>
    </row>
    <row r="7" spans="1:3" x14ac:dyDescent="0.2">
      <c r="A7" t="s">
        <v>33</v>
      </c>
      <c r="B7" s="1" t="str">
        <f>HYPERLINK("#NI!A40", "1d")</f>
        <v>1d</v>
      </c>
      <c r="C7" t="s">
        <v>37</v>
      </c>
    </row>
    <row r="8" spans="1:3" x14ac:dyDescent="0.2">
      <c r="A8" t="s">
        <v>33</v>
      </c>
      <c r="B8" s="1" t="str">
        <f>HYPERLINK("#NI!A51", "1e")</f>
        <v>1e</v>
      </c>
      <c r="C8" t="s">
        <v>38</v>
      </c>
    </row>
    <row r="9" spans="1:3" x14ac:dyDescent="0.2">
      <c r="A9" t="s">
        <v>33</v>
      </c>
      <c r="B9" s="1" t="str">
        <f>HYPERLINK("#NI!A62", "1f")</f>
        <v>1f</v>
      </c>
      <c r="C9" t="s">
        <v>39</v>
      </c>
    </row>
    <row r="10" spans="1:3" x14ac:dyDescent="0.2">
      <c r="A10" t="s">
        <v>33</v>
      </c>
      <c r="B10" s="1" t="str">
        <f>HYPERLINK("#NI!A73", "1g")</f>
        <v>1g</v>
      </c>
      <c r="C10" t="s">
        <v>40</v>
      </c>
    </row>
    <row r="11" spans="1:3" x14ac:dyDescent="0.2">
      <c r="A11" t="s">
        <v>33</v>
      </c>
      <c r="B11" s="1" t="str">
        <f>HYPERLINK("#NI!A84", "1h")</f>
        <v>1h</v>
      </c>
      <c r="C11" t="s">
        <v>41</v>
      </c>
    </row>
    <row r="12" spans="1:3" x14ac:dyDescent="0.2">
      <c r="A12" t="s">
        <v>33</v>
      </c>
      <c r="B12" s="1" t="str">
        <f>HYPERLINK("#NI!A95", "1i")</f>
        <v>1i</v>
      </c>
      <c r="C12" t="s">
        <v>42</v>
      </c>
    </row>
    <row r="13" spans="1:3" x14ac:dyDescent="0.2">
      <c r="A13" t="s">
        <v>33</v>
      </c>
      <c r="B13" s="1" t="str">
        <f>HYPERLINK("#NI!A106", "1j")</f>
        <v>1j</v>
      </c>
      <c r="C13" t="s">
        <v>44</v>
      </c>
    </row>
    <row r="14" spans="1:3" x14ac:dyDescent="0.2">
      <c r="A14" t="s">
        <v>33</v>
      </c>
      <c r="B14" s="1" t="str">
        <f>HYPERLINK("#NI!A117", "1k")</f>
        <v>1k</v>
      </c>
      <c r="C14" t="s">
        <v>43</v>
      </c>
    </row>
    <row r="15" spans="1:3" x14ac:dyDescent="0.2">
      <c r="A15" t="s">
        <v>33</v>
      </c>
      <c r="B15" s="1" t="str">
        <f>HYPERLINK("#NI!A128", "1l")</f>
        <v>1l</v>
      </c>
      <c r="C15" t="s">
        <v>45</v>
      </c>
    </row>
    <row r="16" spans="1:3" x14ac:dyDescent="0.2">
      <c r="A16" t="s">
        <v>46</v>
      </c>
      <c r="B16" s="1" t="str">
        <f>HYPERLINK("#Males!A7", "2.1a")</f>
        <v>2.1a</v>
      </c>
      <c r="C16" t="s">
        <v>47</v>
      </c>
    </row>
    <row r="17" spans="1:3" x14ac:dyDescent="0.2">
      <c r="A17" t="s">
        <v>46</v>
      </c>
      <c r="B17" s="1" t="str">
        <f>HYPERLINK("#Males!A18", "2.1b")</f>
        <v>2.1b</v>
      </c>
      <c r="C17" t="s">
        <v>48</v>
      </c>
    </row>
    <row r="18" spans="1:3" x14ac:dyDescent="0.2">
      <c r="A18" t="s">
        <v>46</v>
      </c>
      <c r="B18" s="1" t="str">
        <f>HYPERLINK("#Males!A29", "2.1c")</f>
        <v>2.1c</v>
      </c>
      <c r="C18" t="s">
        <v>49</v>
      </c>
    </row>
    <row r="19" spans="1:3" x14ac:dyDescent="0.2">
      <c r="A19" t="s">
        <v>46</v>
      </c>
      <c r="B19" s="1" t="str">
        <f>HYPERLINK("#Males!A40", "2.1d")</f>
        <v>2.1d</v>
      </c>
      <c r="C19" t="s">
        <v>50</v>
      </c>
    </row>
    <row r="20" spans="1:3" x14ac:dyDescent="0.2">
      <c r="A20" t="s">
        <v>46</v>
      </c>
      <c r="B20" s="1" t="str">
        <f>HYPERLINK("#Males!A51", "2.1e")</f>
        <v>2.1e</v>
      </c>
      <c r="C20" t="s">
        <v>51</v>
      </c>
    </row>
    <row r="21" spans="1:3" x14ac:dyDescent="0.2">
      <c r="A21" t="s">
        <v>46</v>
      </c>
      <c r="B21" s="1" t="str">
        <f>HYPERLINK("#Males!A62", "2.1f")</f>
        <v>2.1f</v>
      </c>
      <c r="C21" t="s">
        <v>52</v>
      </c>
    </row>
    <row r="22" spans="1:3" x14ac:dyDescent="0.2">
      <c r="A22" t="s">
        <v>46</v>
      </c>
      <c r="B22" s="1" t="str">
        <f>HYPERLINK("#Males!A73", "2.1g")</f>
        <v>2.1g</v>
      </c>
      <c r="C22" t="s">
        <v>53</v>
      </c>
    </row>
    <row r="23" spans="1:3" x14ac:dyDescent="0.2">
      <c r="A23" t="s">
        <v>46</v>
      </c>
      <c r="B23" s="1" t="str">
        <f>HYPERLINK("#Males!A84", "2.1h")</f>
        <v>2.1h</v>
      </c>
      <c r="C23" t="s">
        <v>54</v>
      </c>
    </row>
    <row r="24" spans="1:3" x14ac:dyDescent="0.2">
      <c r="A24" t="s">
        <v>46</v>
      </c>
      <c r="B24" s="1" t="str">
        <f>HYPERLINK("#Males!A95", "2.1i")</f>
        <v>2.1i</v>
      </c>
      <c r="C24" t="s">
        <v>55</v>
      </c>
    </row>
    <row r="25" spans="1:3" x14ac:dyDescent="0.2">
      <c r="A25" t="s">
        <v>46</v>
      </c>
      <c r="B25" s="1" t="str">
        <f>HYPERLINK("#Males!A106", "2.1j")</f>
        <v>2.1j</v>
      </c>
      <c r="C25" t="s">
        <v>57</v>
      </c>
    </row>
    <row r="26" spans="1:3" x14ac:dyDescent="0.2">
      <c r="A26" t="s">
        <v>46</v>
      </c>
      <c r="B26" s="1" t="str">
        <f>HYPERLINK("#Males!A117", "2.1k")</f>
        <v>2.1k</v>
      </c>
      <c r="C26" t="s">
        <v>56</v>
      </c>
    </row>
    <row r="27" spans="1:3" x14ac:dyDescent="0.2">
      <c r="A27" t="s">
        <v>46</v>
      </c>
      <c r="B27" s="1" t="str">
        <f>HYPERLINK("#Males!A128", "2.1l")</f>
        <v>2.1l</v>
      </c>
      <c r="C27" t="s">
        <v>58</v>
      </c>
    </row>
    <row r="28" spans="1:3" x14ac:dyDescent="0.2">
      <c r="A28" t="s">
        <v>59</v>
      </c>
      <c r="B28" s="1" t="str">
        <f>HYPERLINK("#Females!A7", "2.2a")</f>
        <v>2.2a</v>
      </c>
      <c r="C28" t="s">
        <v>60</v>
      </c>
    </row>
    <row r="29" spans="1:3" x14ac:dyDescent="0.2">
      <c r="A29" t="s">
        <v>59</v>
      </c>
      <c r="B29" s="1" t="str">
        <f>HYPERLINK("#Females!A18", "2.2b")</f>
        <v>2.2b</v>
      </c>
      <c r="C29" t="s">
        <v>61</v>
      </c>
    </row>
    <row r="30" spans="1:3" x14ac:dyDescent="0.2">
      <c r="A30" t="s">
        <v>59</v>
      </c>
      <c r="B30" s="1" t="str">
        <f>HYPERLINK("#Females!A29", "2.2c")</f>
        <v>2.2c</v>
      </c>
      <c r="C30" t="s">
        <v>62</v>
      </c>
    </row>
    <row r="31" spans="1:3" x14ac:dyDescent="0.2">
      <c r="A31" t="s">
        <v>59</v>
      </c>
      <c r="B31" s="1" t="str">
        <f>HYPERLINK("#Females!A40", "2.2d")</f>
        <v>2.2d</v>
      </c>
      <c r="C31" t="s">
        <v>63</v>
      </c>
    </row>
    <row r="32" spans="1:3" x14ac:dyDescent="0.2">
      <c r="A32" t="s">
        <v>59</v>
      </c>
      <c r="B32" s="1" t="str">
        <f>HYPERLINK("#Females!A51", "2.2e")</f>
        <v>2.2e</v>
      </c>
      <c r="C32" t="s">
        <v>64</v>
      </c>
    </row>
    <row r="33" spans="1:3" x14ac:dyDescent="0.2">
      <c r="A33" t="s">
        <v>59</v>
      </c>
      <c r="B33" s="1" t="str">
        <f>HYPERLINK("#Females!A62", "2.2f")</f>
        <v>2.2f</v>
      </c>
      <c r="C33" t="s">
        <v>65</v>
      </c>
    </row>
    <row r="34" spans="1:3" x14ac:dyDescent="0.2">
      <c r="A34" t="s">
        <v>59</v>
      </c>
      <c r="B34" s="1" t="str">
        <f>HYPERLINK("#Females!A73", "2.2g")</f>
        <v>2.2g</v>
      </c>
      <c r="C34" t="s">
        <v>66</v>
      </c>
    </row>
    <row r="35" spans="1:3" x14ac:dyDescent="0.2">
      <c r="A35" t="s">
        <v>59</v>
      </c>
      <c r="B35" s="1" t="str">
        <f>HYPERLINK("#Females!A84", "2.2h")</f>
        <v>2.2h</v>
      </c>
      <c r="C35" t="s">
        <v>67</v>
      </c>
    </row>
    <row r="36" spans="1:3" x14ac:dyDescent="0.2">
      <c r="A36" t="s">
        <v>59</v>
      </c>
      <c r="B36" s="1" t="str">
        <f>HYPERLINK("#Females!A95", "2.2i")</f>
        <v>2.2i</v>
      </c>
      <c r="C36" t="s">
        <v>68</v>
      </c>
    </row>
    <row r="37" spans="1:3" x14ac:dyDescent="0.2">
      <c r="A37" t="s">
        <v>59</v>
      </c>
      <c r="B37" s="1" t="str">
        <f>HYPERLINK("#Females!A106", "2.2j")</f>
        <v>2.2j</v>
      </c>
      <c r="C37" t="s">
        <v>70</v>
      </c>
    </row>
    <row r="38" spans="1:3" x14ac:dyDescent="0.2">
      <c r="A38" t="s">
        <v>59</v>
      </c>
      <c r="B38" s="1" t="str">
        <f>HYPERLINK("#Females!A117", "2.2k")</f>
        <v>2.2k</v>
      </c>
      <c r="C38" t="s">
        <v>69</v>
      </c>
    </row>
    <row r="39" spans="1:3" x14ac:dyDescent="0.2">
      <c r="A39" t="s">
        <v>59</v>
      </c>
      <c r="B39" s="1" t="str">
        <f>HYPERLINK("#Females!A128", "2.2l")</f>
        <v>2.2l</v>
      </c>
      <c r="C39" t="s">
        <v>71</v>
      </c>
    </row>
    <row r="40" spans="1:3" x14ac:dyDescent="0.2">
      <c r="A40" t="s">
        <v>72</v>
      </c>
      <c r="B40" s="1" t="str">
        <f>HYPERLINK("#Aged_16_to_24!A7", "3.1a")</f>
        <v>3.1a</v>
      </c>
      <c r="C40" t="s">
        <v>73</v>
      </c>
    </row>
    <row r="41" spans="1:3" x14ac:dyDescent="0.2">
      <c r="A41" t="s">
        <v>72</v>
      </c>
      <c r="B41" s="1" t="str">
        <f>HYPERLINK("#Aged_16_to_24!A18", "3.1b")</f>
        <v>3.1b</v>
      </c>
      <c r="C41" t="s">
        <v>74</v>
      </c>
    </row>
    <row r="42" spans="1:3" x14ac:dyDescent="0.2">
      <c r="A42" t="s">
        <v>72</v>
      </c>
      <c r="B42" s="1" t="str">
        <f>HYPERLINK("#Aged_16_to_24!A29", "3.1c")</f>
        <v>3.1c</v>
      </c>
      <c r="C42" t="s">
        <v>75</v>
      </c>
    </row>
    <row r="43" spans="1:3" x14ac:dyDescent="0.2">
      <c r="A43" t="s">
        <v>72</v>
      </c>
      <c r="B43" s="1" t="str">
        <f>HYPERLINK("#Aged_16_to_24!A40", "3.1d")</f>
        <v>3.1d</v>
      </c>
      <c r="C43" t="s">
        <v>76</v>
      </c>
    </row>
    <row r="44" spans="1:3" x14ac:dyDescent="0.2">
      <c r="A44" t="s">
        <v>72</v>
      </c>
      <c r="B44" s="1" t="str">
        <f>HYPERLINK("#Aged_16_to_24!A51", "3.1e")</f>
        <v>3.1e</v>
      </c>
      <c r="C44" t="s">
        <v>77</v>
      </c>
    </row>
    <row r="45" spans="1:3" x14ac:dyDescent="0.2">
      <c r="A45" t="s">
        <v>72</v>
      </c>
      <c r="B45" s="1" t="str">
        <f>HYPERLINK("#Aged_16_to_24!A62", "3.1f")</f>
        <v>3.1f</v>
      </c>
      <c r="C45" t="s">
        <v>78</v>
      </c>
    </row>
    <row r="46" spans="1:3" x14ac:dyDescent="0.2">
      <c r="A46" t="s">
        <v>72</v>
      </c>
      <c r="B46" s="1" t="str">
        <f>HYPERLINK("#Aged_16_to_24!A73", "3.1g")</f>
        <v>3.1g</v>
      </c>
      <c r="C46" t="s">
        <v>79</v>
      </c>
    </row>
    <row r="47" spans="1:3" x14ac:dyDescent="0.2">
      <c r="A47" t="s">
        <v>72</v>
      </c>
      <c r="B47" s="1" t="str">
        <f>HYPERLINK("#Aged_16_to_24!A84", "3.1h")</f>
        <v>3.1h</v>
      </c>
      <c r="C47" t="s">
        <v>80</v>
      </c>
    </row>
    <row r="48" spans="1:3" x14ac:dyDescent="0.2">
      <c r="A48" t="s">
        <v>72</v>
      </c>
      <c r="B48" s="1" t="str">
        <f>HYPERLINK("#Aged_16_to_24!A95", "3.1i")</f>
        <v>3.1i</v>
      </c>
      <c r="C48" t="s">
        <v>81</v>
      </c>
    </row>
    <row r="49" spans="1:3" x14ac:dyDescent="0.2">
      <c r="A49" t="s">
        <v>72</v>
      </c>
      <c r="B49" s="1" t="str">
        <f>HYPERLINK("#Aged_16_to_24!A106", "3.1j")</f>
        <v>3.1j</v>
      </c>
      <c r="C49" t="s">
        <v>83</v>
      </c>
    </row>
    <row r="50" spans="1:3" x14ac:dyDescent="0.2">
      <c r="A50" t="s">
        <v>72</v>
      </c>
      <c r="B50" s="1" t="str">
        <f>HYPERLINK("#Aged_16_to_24!A117", "3.1k")</f>
        <v>3.1k</v>
      </c>
      <c r="C50" t="s">
        <v>82</v>
      </c>
    </row>
    <row r="51" spans="1:3" x14ac:dyDescent="0.2">
      <c r="A51" t="s">
        <v>72</v>
      </c>
      <c r="B51" s="1" t="str">
        <f>HYPERLINK("#Aged_16_to_24!A128", "3.1l")</f>
        <v>3.1l</v>
      </c>
      <c r="C51" t="s">
        <v>84</v>
      </c>
    </row>
    <row r="52" spans="1:3" x14ac:dyDescent="0.2">
      <c r="A52" t="s">
        <v>85</v>
      </c>
      <c r="B52" s="1" t="str">
        <f>HYPERLINK("#Aged_25_to_34!A7", "3.2a")</f>
        <v>3.2a</v>
      </c>
      <c r="C52" t="s">
        <v>86</v>
      </c>
    </row>
    <row r="53" spans="1:3" x14ac:dyDescent="0.2">
      <c r="A53" t="s">
        <v>85</v>
      </c>
      <c r="B53" s="1" t="str">
        <f>HYPERLINK("#Aged_25_to_34!A18", "3.2b")</f>
        <v>3.2b</v>
      </c>
      <c r="C53" t="s">
        <v>87</v>
      </c>
    </row>
    <row r="54" spans="1:3" x14ac:dyDescent="0.2">
      <c r="A54" t="s">
        <v>85</v>
      </c>
      <c r="B54" s="1" t="str">
        <f>HYPERLINK("#Aged_25_to_34!A29", "3.2c")</f>
        <v>3.2c</v>
      </c>
      <c r="C54" t="s">
        <v>88</v>
      </c>
    </row>
    <row r="55" spans="1:3" x14ac:dyDescent="0.2">
      <c r="A55" t="s">
        <v>85</v>
      </c>
      <c r="B55" s="1" t="str">
        <f>HYPERLINK("#Aged_25_to_34!A40", "3.2d")</f>
        <v>3.2d</v>
      </c>
      <c r="C55" t="s">
        <v>89</v>
      </c>
    </row>
    <row r="56" spans="1:3" x14ac:dyDescent="0.2">
      <c r="A56" t="s">
        <v>85</v>
      </c>
      <c r="B56" s="1" t="str">
        <f>HYPERLINK("#Aged_25_to_34!A51", "3.2e")</f>
        <v>3.2e</v>
      </c>
      <c r="C56" t="s">
        <v>90</v>
      </c>
    </row>
    <row r="57" spans="1:3" x14ac:dyDescent="0.2">
      <c r="A57" t="s">
        <v>85</v>
      </c>
      <c r="B57" s="1" t="str">
        <f>HYPERLINK("#Aged_25_to_34!A62", "3.2f")</f>
        <v>3.2f</v>
      </c>
      <c r="C57" t="s">
        <v>91</v>
      </c>
    </row>
    <row r="58" spans="1:3" x14ac:dyDescent="0.2">
      <c r="A58" t="s">
        <v>85</v>
      </c>
      <c r="B58" s="1" t="str">
        <f>HYPERLINK("#Aged_25_to_34!A73", "3.2g")</f>
        <v>3.2g</v>
      </c>
      <c r="C58" t="s">
        <v>92</v>
      </c>
    </row>
    <row r="59" spans="1:3" x14ac:dyDescent="0.2">
      <c r="A59" t="s">
        <v>85</v>
      </c>
      <c r="B59" s="1" t="str">
        <f>HYPERLINK("#Aged_25_to_34!A84", "3.2h")</f>
        <v>3.2h</v>
      </c>
      <c r="C59" t="s">
        <v>93</v>
      </c>
    </row>
    <row r="60" spans="1:3" x14ac:dyDescent="0.2">
      <c r="A60" t="s">
        <v>85</v>
      </c>
      <c r="B60" s="1" t="str">
        <f>HYPERLINK("#Aged_25_to_34!A95", "3.2i")</f>
        <v>3.2i</v>
      </c>
      <c r="C60" t="s">
        <v>94</v>
      </c>
    </row>
    <row r="61" spans="1:3" x14ac:dyDescent="0.2">
      <c r="A61" t="s">
        <v>85</v>
      </c>
      <c r="B61" s="1" t="str">
        <f>HYPERLINK("#Aged_25_to_34!A106", "3.2j")</f>
        <v>3.2j</v>
      </c>
      <c r="C61" t="s">
        <v>96</v>
      </c>
    </row>
    <row r="62" spans="1:3" x14ac:dyDescent="0.2">
      <c r="A62" t="s">
        <v>85</v>
      </c>
      <c r="B62" s="1" t="str">
        <f>HYPERLINK("#Aged_25_to_34!A117", "3.2k")</f>
        <v>3.2k</v>
      </c>
      <c r="C62" t="s">
        <v>95</v>
      </c>
    </row>
    <row r="63" spans="1:3" x14ac:dyDescent="0.2">
      <c r="A63" t="s">
        <v>85</v>
      </c>
      <c r="B63" s="1" t="str">
        <f>HYPERLINK("#Aged_25_to_34!A128", "3.2l")</f>
        <v>3.2l</v>
      </c>
      <c r="C63" t="s">
        <v>97</v>
      </c>
    </row>
    <row r="64" spans="1:3" x14ac:dyDescent="0.2">
      <c r="A64" t="s">
        <v>98</v>
      </c>
      <c r="B64" s="1" t="str">
        <f>HYPERLINK("#Aged_35_to_49!A7", "3.3a")</f>
        <v>3.3a</v>
      </c>
      <c r="C64" t="s">
        <v>99</v>
      </c>
    </row>
    <row r="65" spans="1:3" x14ac:dyDescent="0.2">
      <c r="A65" t="s">
        <v>98</v>
      </c>
      <c r="B65" s="1" t="str">
        <f>HYPERLINK("#Aged_35_to_49!A18", "3.3b")</f>
        <v>3.3b</v>
      </c>
      <c r="C65" t="s">
        <v>100</v>
      </c>
    </row>
    <row r="66" spans="1:3" x14ac:dyDescent="0.2">
      <c r="A66" t="s">
        <v>98</v>
      </c>
      <c r="B66" s="1" t="str">
        <f>HYPERLINK("#Aged_35_to_49!A29", "3.3c")</f>
        <v>3.3c</v>
      </c>
      <c r="C66" t="s">
        <v>101</v>
      </c>
    </row>
    <row r="67" spans="1:3" x14ac:dyDescent="0.2">
      <c r="A67" t="s">
        <v>98</v>
      </c>
      <c r="B67" s="1" t="str">
        <f>HYPERLINK("#Aged_35_to_49!A40", "3.3d")</f>
        <v>3.3d</v>
      </c>
      <c r="C67" t="s">
        <v>102</v>
      </c>
    </row>
    <row r="68" spans="1:3" x14ac:dyDescent="0.2">
      <c r="A68" t="s">
        <v>98</v>
      </c>
      <c r="B68" s="1" t="str">
        <f>HYPERLINK("#Aged_35_to_49!A51", "3.3e")</f>
        <v>3.3e</v>
      </c>
      <c r="C68" t="s">
        <v>103</v>
      </c>
    </row>
    <row r="69" spans="1:3" x14ac:dyDescent="0.2">
      <c r="A69" t="s">
        <v>98</v>
      </c>
      <c r="B69" s="1" t="str">
        <f>HYPERLINK("#Aged_35_to_49!A62", "3.3f")</f>
        <v>3.3f</v>
      </c>
      <c r="C69" t="s">
        <v>104</v>
      </c>
    </row>
    <row r="70" spans="1:3" x14ac:dyDescent="0.2">
      <c r="A70" t="s">
        <v>98</v>
      </c>
      <c r="B70" s="1" t="str">
        <f>HYPERLINK("#Aged_35_to_49!A73", "3.3g")</f>
        <v>3.3g</v>
      </c>
      <c r="C70" t="s">
        <v>105</v>
      </c>
    </row>
    <row r="71" spans="1:3" x14ac:dyDescent="0.2">
      <c r="A71" t="s">
        <v>98</v>
      </c>
      <c r="B71" s="1" t="str">
        <f>HYPERLINK("#Aged_35_to_49!A84", "3.3h")</f>
        <v>3.3h</v>
      </c>
      <c r="C71" t="s">
        <v>106</v>
      </c>
    </row>
    <row r="72" spans="1:3" x14ac:dyDescent="0.2">
      <c r="A72" t="s">
        <v>98</v>
      </c>
      <c r="B72" s="1" t="str">
        <f>HYPERLINK("#Aged_35_to_49!A95", "3.3i")</f>
        <v>3.3i</v>
      </c>
      <c r="C72" t="s">
        <v>107</v>
      </c>
    </row>
    <row r="73" spans="1:3" x14ac:dyDescent="0.2">
      <c r="A73" t="s">
        <v>98</v>
      </c>
      <c r="B73" s="1" t="str">
        <f>HYPERLINK("#Aged_35_to_49!A106", "3.3j")</f>
        <v>3.3j</v>
      </c>
      <c r="C73" t="s">
        <v>109</v>
      </c>
    </row>
    <row r="74" spans="1:3" x14ac:dyDescent="0.2">
      <c r="A74" t="s">
        <v>98</v>
      </c>
      <c r="B74" s="1" t="str">
        <f>HYPERLINK("#Aged_35_to_49!A117", "3.3k")</f>
        <v>3.3k</v>
      </c>
      <c r="C74" t="s">
        <v>108</v>
      </c>
    </row>
    <row r="75" spans="1:3" x14ac:dyDescent="0.2">
      <c r="A75" t="s">
        <v>98</v>
      </c>
      <c r="B75" s="1" t="str">
        <f>HYPERLINK("#Aged_35_to_49!A128", "3.3l")</f>
        <v>3.3l</v>
      </c>
      <c r="C75" t="s">
        <v>110</v>
      </c>
    </row>
    <row r="76" spans="1:3" x14ac:dyDescent="0.2">
      <c r="A76" t="s">
        <v>111</v>
      </c>
      <c r="B76" s="1" t="str">
        <f>HYPERLINK("#Aged_50_to_64!A7", "3.4a")</f>
        <v>3.4a</v>
      </c>
      <c r="C76" t="s">
        <v>112</v>
      </c>
    </row>
    <row r="77" spans="1:3" x14ac:dyDescent="0.2">
      <c r="A77" t="s">
        <v>111</v>
      </c>
      <c r="B77" s="1" t="str">
        <f>HYPERLINK("#Aged_50_to_64!A18", "3.4b")</f>
        <v>3.4b</v>
      </c>
      <c r="C77" t="s">
        <v>113</v>
      </c>
    </row>
    <row r="78" spans="1:3" x14ac:dyDescent="0.2">
      <c r="A78" t="s">
        <v>111</v>
      </c>
      <c r="B78" s="1" t="str">
        <f>HYPERLINK("#Aged_50_to_64!A29", "3.4c")</f>
        <v>3.4c</v>
      </c>
      <c r="C78" t="s">
        <v>114</v>
      </c>
    </row>
    <row r="79" spans="1:3" x14ac:dyDescent="0.2">
      <c r="A79" t="s">
        <v>111</v>
      </c>
      <c r="B79" s="1" t="str">
        <f>HYPERLINK("#Aged_50_to_64!A40", "3.4d")</f>
        <v>3.4d</v>
      </c>
      <c r="C79" t="s">
        <v>115</v>
      </c>
    </row>
    <row r="80" spans="1:3" x14ac:dyDescent="0.2">
      <c r="A80" t="s">
        <v>111</v>
      </c>
      <c r="B80" s="1" t="str">
        <f>HYPERLINK("#Aged_50_to_64!A51", "3.4e")</f>
        <v>3.4e</v>
      </c>
      <c r="C80" t="s">
        <v>116</v>
      </c>
    </row>
    <row r="81" spans="1:3" x14ac:dyDescent="0.2">
      <c r="A81" t="s">
        <v>111</v>
      </c>
      <c r="B81" s="1" t="str">
        <f>HYPERLINK("#Aged_50_to_64!A62", "3.4f")</f>
        <v>3.4f</v>
      </c>
      <c r="C81" t="s">
        <v>117</v>
      </c>
    </row>
    <row r="82" spans="1:3" x14ac:dyDescent="0.2">
      <c r="A82" t="s">
        <v>111</v>
      </c>
      <c r="B82" s="1" t="str">
        <f>HYPERLINK("#Aged_50_to_64!A73", "3.4g")</f>
        <v>3.4g</v>
      </c>
      <c r="C82" t="s">
        <v>118</v>
      </c>
    </row>
    <row r="83" spans="1:3" x14ac:dyDescent="0.2">
      <c r="A83" t="s">
        <v>111</v>
      </c>
      <c r="B83" s="1" t="str">
        <f>HYPERLINK("#Aged_50_to_64!A84", "3.4h")</f>
        <v>3.4h</v>
      </c>
      <c r="C83" t="s">
        <v>119</v>
      </c>
    </row>
    <row r="84" spans="1:3" x14ac:dyDescent="0.2">
      <c r="A84" t="s">
        <v>111</v>
      </c>
      <c r="B84" s="1" t="str">
        <f>HYPERLINK("#Aged_50_to_64!A95", "3.4i")</f>
        <v>3.4i</v>
      </c>
      <c r="C84" t="s">
        <v>120</v>
      </c>
    </row>
    <row r="85" spans="1:3" x14ac:dyDescent="0.2">
      <c r="A85" t="s">
        <v>111</v>
      </c>
      <c r="B85" s="1" t="str">
        <f>HYPERLINK("#Aged_50_to_64!A106", "3.4j")</f>
        <v>3.4j</v>
      </c>
      <c r="C85" t="s">
        <v>122</v>
      </c>
    </row>
    <row r="86" spans="1:3" x14ac:dyDescent="0.2">
      <c r="A86" t="s">
        <v>111</v>
      </c>
      <c r="B86" s="1" t="str">
        <f>HYPERLINK("#Aged_50_to_64!A117", "3.4k")</f>
        <v>3.4k</v>
      </c>
      <c r="C86" t="s">
        <v>121</v>
      </c>
    </row>
    <row r="87" spans="1:3" x14ac:dyDescent="0.2">
      <c r="A87" t="s">
        <v>111</v>
      </c>
      <c r="B87" s="1" t="str">
        <f>HYPERLINK("#Aged_50_to_64!A128", "3.4l")</f>
        <v>3.4l</v>
      </c>
      <c r="C87" t="s">
        <v>123</v>
      </c>
    </row>
    <row r="88" spans="1:3" x14ac:dyDescent="0.2">
      <c r="A88" t="s">
        <v>124</v>
      </c>
      <c r="B88" s="1" t="str">
        <f>HYPERLINK("#Disabled!A7", "4.1a")</f>
        <v>4.1a</v>
      </c>
      <c r="C88" t="s">
        <v>125</v>
      </c>
    </row>
    <row r="89" spans="1:3" x14ac:dyDescent="0.2">
      <c r="A89" t="s">
        <v>124</v>
      </c>
      <c r="B89" s="1" t="str">
        <f>HYPERLINK("#Disabled!A18", "4.1b")</f>
        <v>4.1b</v>
      </c>
      <c r="C89" t="s">
        <v>126</v>
      </c>
    </row>
    <row r="90" spans="1:3" x14ac:dyDescent="0.2">
      <c r="A90" t="s">
        <v>124</v>
      </c>
      <c r="B90" s="1" t="str">
        <f>HYPERLINK("#Disabled!A29", "4.1c")</f>
        <v>4.1c</v>
      </c>
      <c r="C90" t="s">
        <v>127</v>
      </c>
    </row>
    <row r="91" spans="1:3" x14ac:dyDescent="0.2">
      <c r="A91" t="s">
        <v>124</v>
      </c>
      <c r="B91" s="1" t="str">
        <f>HYPERLINK("#Disabled!A40", "4.1d")</f>
        <v>4.1d</v>
      </c>
      <c r="C91" t="s">
        <v>128</v>
      </c>
    </row>
    <row r="92" spans="1:3" x14ac:dyDescent="0.2">
      <c r="A92" t="s">
        <v>124</v>
      </c>
      <c r="B92" s="1" t="str">
        <f>HYPERLINK("#Disabled!A51", "4.1e")</f>
        <v>4.1e</v>
      </c>
      <c r="C92" t="s">
        <v>129</v>
      </c>
    </row>
    <row r="93" spans="1:3" x14ac:dyDescent="0.2">
      <c r="A93" t="s">
        <v>124</v>
      </c>
      <c r="B93" s="1" t="str">
        <f>HYPERLINK("#Disabled!A62", "4.1f")</f>
        <v>4.1f</v>
      </c>
      <c r="C93" t="s">
        <v>130</v>
      </c>
    </row>
    <row r="94" spans="1:3" x14ac:dyDescent="0.2">
      <c r="A94" t="s">
        <v>124</v>
      </c>
      <c r="B94" s="1" t="str">
        <f>HYPERLINK("#Disabled!A73", "4.1g")</f>
        <v>4.1g</v>
      </c>
      <c r="C94" t="s">
        <v>131</v>
      </c>
    </row>
    <row r="95" spans="1:3" x14ac:dyDescent="0.2">
      <c r="A95" t="s">
        <v>124</v>
      </c>
      <c r="B95" s="1" t="str">
        <f>HYPERLINK("#Disabled!A84", "4.1h")</f>
        <v>4.1h</v>
      </c>
      <c r="C95" t="s">
        <v>132</v>
      </c>
    </row>
    <row r="96" spans="1:3" x14ac:dyDescent="0.2">
      <c r="A96" t="s">
        <v>124</v>
      </c>
      <c r="B96" s="1" t="str">
        <f>HYPERLINK("#Disabled!A95", "4.1i")</f>
        <v>4.1i</v>
      </c>
      <c r="C96" t="s">
        <v>133</v>
      </c>
    </row>
    <row r="97" spans="1:3" x14ac:dyDescent="0.2">
      <c r="A97" t="s">
        <v>124</v>
      </c>
      <c r="B97" s="1" t="str">
        <f>HYPERLINK("#Disabled!A106", "4.1j")</f>
        <v>4.1j</v>
      </c>
      <c r="C97" t="s">
        <v>135</v>
      </c>
    </row>
    <row r="98" spans="1:3" x14ac:dyDescent="0.2">
      <c r="A98" t="s">
        <v>124</v>
      </c>
      <c r="B98" s="1" t="str">
        <f>HYPERLINK("#Disabled!A117", "4.1k")</f>
        <v>4.1k</v>
      </c>
      <c r="C98" t="s">
        <v>134</v>
      </c>
    </row>
    <row r="99" spans="1:3" x14ac:dyDescent="0.2">
      <c r="A99" t="s">
        <v>124</v>
      </c>
      <c r="B99" s="1" t="str">
        <f>HYPERLINK("#Disabled!A128", "4.1l")</f>
        <v>4.1l</v>
      </c>
      <c r="C99" t="s">
        <v>136</v>
      </c>
    </row>
    <row r="100" spans="1:3" x14ac:dyDescent="0.2">
      <c r="A100" t="s">
        <v>137</v>
      </c>
      <c r="B100" s="1" t="str">
        <f>HYPERLINK("#Not_disabled!A7", "4.2a")</f>
        <v>4.2a</v>
      </c>
      <c r="C100" t="s">
        <v>138</v>
      </c>
    </row>
    <row r="101" spans="1:3" x14ac:dyDescent="0.2">
      <c r="A101" t="s">
        <v>137</v>
      </c>
      <c r="B101" s="1" t="str">
        <f>HYPERLINK("#Not_disabled!A18", "4.2b")</f>
        <v>4.2b</v>
      </c>
      <c r="C101" t="s">
        <v>139</v>
      </c>
    </row>
    <row r="102" spans="1:3" x14ac:dyDescent="0.2">
      <c r="A102" t="s">
        <v>137</v>
      </c>
      <c r="B102" s="1" t="str">
        <f>HYPERLINK("#Not_disabled!A29", "4.2c")</f>
        <v>4.2c</v>
      </c>
      <c r="C102" t="s">
        <v>140</v>
      </c>
    </row>
    <row r="103" spans="1:3" x14ac:dyDescent="0.2">
      <c r="A103" t="s">
        <v>137</v>
      </c>
      <c r="B103" s="1" t="str">
        <f>HYPERLINK("#Not_disabled!A40", "4.2d")</f>
        <v>4.2d</v>
      </c>
      <c r="C103" t="s">
        <v>141</v>
      </c>
    </row>
    <row r="104" spans="1:3" x14ac:dyDescent="0.2">
      <c r="A104" t="s">
        <v>137</v>
      </c>
      <c r="B104" s="1" t="str">
        <f>HYPERLINK("#Not_disabled!A51", "4.2e")</f>
        <v>4.2e</v>
      </c>
      <c r="C104" t="s">
        <v>142</v>
      </c>
    </row>
    <row r="105" spans="1:3" x14ac:dyDescent="0.2">
      <c r="A105" t="s">
        <v>137</v>
      </c>
      <c r="B105" s="1" t="str">
        <f>HYPERLINK("#Not_disabled!A62", "4.2f")</f>
        <v>4.2f</v>
      </c>
      <c r="C105" t="s">
        <v>143</v>
      </c>
    </row>
    <row r="106" spans="1:3" x14ac:dyDescent="0.2">
      <c r="A106" t="s">
        <v>137</v>
      </c>
      <c r="B106" s="1" t="str">
        <f>HYPERLINK("#Not_disabled!A73", "4.2g")</f>
        <v>4.2g</v>
      </c>
      <c r="C106" t="s">
        <v>144</v>
      </c>
    </row>
    <row r="107" spans="1:3" x14ac:dyDescent="0.2">
      <c r="A107" t="s">
        <v>137</v>
      </c>
      <c r="B107" s="1" t="str">
        <f>HYPERLINK("#Not_disabled!A84", "4.2h")</f>
        <v>4.2h</v>
      </c>
      <c r="C107" t="s">
        <v>145</v>
      </c>
    </row>
    <row r="108" spans="1:3" x14ac:dyDescent="0.2">
      <c r="A108" t="s">
        <v>137</v>
      </c>
      <c r="B108" s="1" t="str">
        <f>HYPERLINK("#Not_disabled!A95", "4.2i")</f>
        <v>4.2i</v>
      </c>
      <c r="C108" t="s">
        <v>146</v>
      </c>
    </row>
    <row r="109" spans="1:3" x14ac:dyDescent="0.2">
      <c r="A109" t="s">
        <v>137</v>
      </c>
      <c r="B109" s="1" t="str">
        <f>HYPERLINK("#Not_disabled!A106", "4.2j")</f>
        <v>4.2j</v>
      </c>
      <c r="C109" t="s">
        <v>148</v>
      </c>
    </row>
    <row r="110" spans="1:3" x14ac:dyDescent="0.2">
      <c r="A110" t="s">
        <v>137</v>
      </c>
      <c r="B110" s="1" t="str">
        <f>HYPERLINK("#Not_disabled!A117", "4.2k")</f>
        <v>4.2k</v>
      </c>
      <c r="C110" t="s">
        <v>147</v>
      </c>
    </row>
    <row r="111" spans="1:3" x14ac:dyDescent="0.2">
      <c r="A111" t="s">
        <v>137</v>
      </c>
      <c r="B111" s="1" t="str">
        <f>HYPERLINK("#Not_disabled!A128", "4.2l")</f>
        <v>4.2l</v>
      </c>
      <c r="C111" t="s">
        <v>149</v>
      </c>
    </row>
    <row r="112" spans="1:3" x14ac:dyDescent="0.2">
      <c r="A112" t="s">
        <v>150</v>
      </c>
      <c r="B112" s="1" t="str">
        <f>HYPERLINK("#Deprivation!A7", "5.1a")</f>
        <v>5.1a</v>
      </c>
      <c r="C112" t="s">
        <v>151</v>
      </c>
    </row>
    <row r="113" spans="1:3" x14ac:dyDescent="0.2">
      <c r="A113" t="s">
        <v>150</v>
      </c>
      <c r="B113" s="1" t="str">
        <f>HYPERLINK("#Deprivation!A18", "5.1b")</f>
        <v>5.1b</v>
      </c>
      <c r="C113" t="s">
        <v>152</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
  <sheetViews>
    <sheetView workbookViewId="0"/>
  </sheetViews>
  <sheetFormatPr defaultColWidth="10.88671875" defaultRowHeight="15" x14ac:dyDescent="0.2"/>
  <cols>
    <col min="2" max="2" width="110.77734375" customWidth="1"/>
  </cols>
  <sheetData>
    <row r="1" spans="1:2" ht="19.5" x14ac:dyDescent="0.3">
      <c r="A1" s="2" t="s">
        <v>32</v>
      </c>
    </row>
    <row r="2" spans="1:2" ht="31.5" x14ac:dyDescent="0.25">
      <c r="A2" s="5" t="s">
        <v>153</v>
      </c>
      <c r="B2" s="5" t="s">
        <v>154</v>
      </c>
    </row>
    <row r="3" spans="1:2" ht="180" x14ac:dyDescent="0.2">
      <c r="A3" s="12" t="s">
        <v>155</v>
      </c>
      <c r="B3" s="4" t="s">
        <v>156</v>
      </c>
    </row>
    <row r="4" spans="1:2" ht="90" x14ac:dyDescent="0.2">
      <c r="A4" s="12" t="s">
        <v>157</v>
      </c>
      <c r="B4" s="4" t="s">
        <v>158</v>
      </c>
    </row>
    <row r="5" spans="1:2" ht="135" x14ac:dyDescent="0.2">
      <c r="A5" s="12" t="s">
        <v>159</v>
      </c>
      <c r="B5" s="4" t="s">
        <v>160</v>
      </c>
    </row>
    <row r="6" spans="1:2" x14ac:dyDescent="0.2">
      <c r="B6" s="4"/>
    </row>
    <row r="7" spans="1:2" x14ac:dyDescent="0.2">
      <c r="B7" s="4"/>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7"/>
  <sheetViews>
    <sheetView workbookViewId="0">
      <selection activeCell="E13" sqref="E13"/>
    </sheetView>
  </sheetViews>
  <sheetFormatPr defaultColWidth="10.88671875" defaultRowHeight="15" x14ac:dyDescent="0.2"/>
  <cols>
    <col min="1" max="5" width="18.77734375" customWidth="1"/>
    <col min="6" max="6" width="50.77734375" customWidth="1"/>
  </cols>
  <sheetData>
    <row r="1" spans="1:6" ht="19.5" x14ac:dyDescent="0.3">
      <c r="A1" s="2" t="s">
        <v>161</v>
      </c>
    </row>
    <row r="2" spans="1:6" x14ac:dyDescent="0.2">
      <c r="A2" t="s">
        <v>162</v>
      </c>
    </row>
    <row r="3" spans="1:6" x14ac:dyDescent="0.2">
      <c r="A3" t="s">
        <v>163</v>
      </c>
    </row>
    <row r="4" spans="1:6" x14ac:dyDescent="0.2">
      <c r="A4" t="s">
        <v>164</v>
      </c>
    </row>
    <row r="5" spans="1:6" x14ac:dyDescent="0.2">
      <c r="A5" t="s">
        <v>165</v>
      </c>
    </row>
    <row r="6" spans="1:6" ht="15.75" x14ac:dyDescent="0.25">
      <c r="A6" s="3" t="s">
        <v>166</v>
      </c>
    </row>
    <row r="7" spans="1:6" ht="31.5" x14ac:dyDescent="0.25">
      <c r="A7" s="5" t="s">
        <v>167</v>
      </c>
      <c r="B7" s="6" t="s">
        <v>168</v>
      </c>
      <c r="C7" s="6" t="s">
        <v>169</v>
      </c>
      <c r="D7" s="6" t="s">
        <v>170</v>
      </c>
      <c r="E7" s="6" t="s">
        <v>171</v>
      </c>
      <c r="F7" s="6" t="s">
        <v>172</v>
      </c>
    </row>
    <row r="8" spans="1:6" x14ac:dyDescent="0.2">
      <c r="A8" s="9">
        <v>2016</v>
      </c>
      <c r="B8" s="7">
        <v>819000</v>
      </c>
      <c r="C8" s="8">
        <v>73</v>
      </c>
      <c r="D8" s="7">
        <v>558000</v>
      </c>
      <c r="E8" s="8">
        <v>49.8</v>
      </c>
      <c r="F8" s="7"/>
    </row>
    <row r="9" spans="1:6" x14ac:dyDescent="0.2">
      <c r="A9" s="9">
        <v>2017</v>
      </c>
      <c r="B9" s="7">
        <v>806000</v>
      </c>
      <c r="C9" s="8">
        <v>72.099999999999994</v>
      </c>
      <c r="D9" s="7">
        <v>573000</v>
      </c>
      <c r="E9" s="8">
        <v>51.2</v>
      </c>
      <c r="F9" s="7"/>
    </row>
    <row r="10" spans="1:6" x14ac:dyDescent="0.2">
      <c r="A10" s="9">
        <v>2018</v>
      </c>
      <c r="B10" s="7">
        <v>839000</v>
      </c>
      <c r="C10" s="8">
        <v>75.099999999999994</v>
      </c>
      <c r="D10" s="7">
        <v>604000</v>
      </c>
      <c r="E10" s="8">
        <v>54.1</v>
      </c>
      <c r="F10" s="7"/>
    </row>
    <row r="11" spans="1:6" x14ac:dyDescent="0.2">
      <c r="A11" s="9">
        <v>2019</v>
      </c>
      <c r="B11" s="7">
        <v>847000</v>
      </c>
      <c r="C11" s="8">
        <v>75.900000000000006</v>
      </c>
      <c r="D11" s="7">
        <v>621000</v>
      </c>
      <c r="E11" s="8">
        <v>55.6</v>
      </c>
      <c r="F11" s="7"/>
    </row>
    <row r="12" spans="1:6" x14ac:dyDescent="0.2">
      <c r="A12" s="9">
        <v>2020</v>
      </c>
      <c r="B12" s="7">
        <v>852000</v>
      </c>
      <c r="C12" s="8">
        <v>76.3</v>
      </c>
      <c r="D12" s="7">
        <v>625000</v>
      </c>
      <c r="E12" s="8">
        <v>56</v>
      </c>
      <c r="F12" s="7"/>
    </row>
    <row r="13" spans="1:6" x14ac:dyDescent="0.2">
      <c r="A13" s="9">
        <v>2021</v>
      </c>
      <c r="B13" s="7">
        <v>873000</v>
      </c>
      <c r="C13" s="8">
        <v>78.5</v>
      </c>
      <c r="D13" s="7">
        <v>666000</v>
      </c>
      <c r="E13" s="8">
        <v>59.9</v>
      </c>
      <c r="F13" s="7"/>
    </row>
    <row r="14" spans="1:6" x14ac:dyDescent="0.2">
      <c r="A14" s="9">
        <v>2022</v>
      </c>
      <c r="B14" s="7">
        <v>837000</v>
      </c>
      <c r="C14" s="8">
        <v>76.400000000000006</v>
      </c>
      <c r="D14" s="7">
        <v>627000</v>
      </c>
      <c r="E14" s="8">
        <v>57.2</v>
      </c>
      <c r="F14" s="7"/>
    </row>
    <row r="15" spans="1:6" x14ac:dyDescent="0.2">
      <c r="A15" s="9">
        <v>2023</v>
      </c>
      <c r="B15" s="7">
        <v>874000</v>
      </c>
      <c r="C15" s="8">
        <v>78.099999999999994</v>
      </c>
      <c r="D15" s="7">
        <v>662000</v>
      </c>
      <c r="E15" s="8">
        <v>59.2</v>
      </c>
      <c r="F15" s="7"/>
    </row>
    <row r="16" spans="1:6" x14ac:dyDescent="0.2">
      <c r="A16" s="9"/>
      <c r="B16" s="7"/>
      <c r="C16" s="8"/>
      <c r="D16" s="7"/>
      <c r="E16" s="8"/>
      <c r="F16" s="7"/>
    </row>
    <row r="17" spans="1:6" ht="15.75" x14ac:dyDescent="0.25">
      <c r="A17" s="3" t="s">
        <v>173</v>
      </c>
    </row>
    <row r="18" spans="1:6" ht="31.5" x14ac:dyDescent="0.25">
      <c r="A18" s="5" t="s">
        <v>167</v>
      </c>
      <c r="B18" s="6" t="s">
        <v>168</v>
      </c>
      <c r="C18" s="6" t="s">
        <v>169</v>
      </c>
      <c r="D18" s="6" t="s">
        <v>170</v>
      </c>
      <c r="E18" s="6" t="s">
        <v>171</v>
      </c>
      <c r="F18" s="6" t="s">
        <v>172</v>
      </c>
    </row>
    <row r="19" spans="1:6" x14ac:dyDescent="0.2">
      <c r="A19" s="9">
        <v>2016</v>
      </c>
      <c r="B19" s="7">
        <v>58000</v>
      </c>
      <c r="C19" s="8">
        <v>71</v>
      </c>
      <c r="D19" s="7">
        <v>41000</v>
      </c>
      <c r="E19" s="8">
        <v>49.4</v>
      </c>
      <c r="F19" s="7"/>
    </row>
    <row r="20" spans="1:6" x14ac:dyDescent="0.2">
      <c r="A20" s="9">
        <v>2017</v>
      </c>
      <c r="B20" s="7">
        <v>68000</v>
      </c>
      <c r="C20" s="8">
        <v>78.099999999999994</v>
      </c>
      <c r="D20" s="7">
        <v>47000</v>
      </c>
      <c r="E20" s="8">
        <v>54</v>
      </c>
      <c r="F20" s="7"/>
    </row>
    <row r="21" spans="1:6" x14ac:dyDescent="0.2">
      <c r="A21" s="9">
        <v>2018</v>
      </c>
      <c r="B21" s="7">
        <v>71000</v>
      </c>
      <c r="C21" s="8">
        <v>82.2</v>
      </c>
      <c r="D21" s="7">
        <v>49000</v>
      </c>
      <c r="E21" s="8">
        <v>56.1</v>
      </c>
      <c r="F21" s="7"/>
    </row>
    <row r="22" spans="1:6" x14ac:dyDescent="0.2">
      <c r="A22" s="9">
        <v>2019</v>
      </c>
      <c r="B22" s="7">
        <v>72000</v>
      </c>
      <c r="C22" s="8">
        <v>81.3</v>
      </c>
      <c r="D22" s="7">
        <v>54000</v>
      </c>
      <c r="E22" s="8">
        <v>61</v>
      </c>
      <c r="F22" s="7"/>
    </row>
    <row r="23" spans="1:6" x14ac:dyDescent="0.2">
      <c r="A23" s="9">
        <v>2020</v>
      </c>
      <c r="B23" s="7">
        <v>71000</v>
      </c>
      <c r="C23" s="8">
        <v>83.1</v>
      </c>
      <c r="D23" s="7">
        <v>52000</v>
      </c>
      <c r="E23" s="8">
        <v>60.8</v>
      </c>
      <c r="F23" s="7"/>
    </row>
    <row r="24" spans="1:6" x14ac:dyDescent="0.2">
      <c r="A24" s="9">
        <v>2021</v>
      </c>
      <c r="B24" s="7">
        <v>71000</v>
      </c>
      <c r="C24" s="8">
        <v>86.3</v>
      </c>
      <c r="D24" s="7">
        <v>53000</v>
      </c>
      <c r="E24" s="8">
        <v>64</v>
      </c>
      <c r="F24" s="7"/>
    </row>
    <row r="25" spans="1:6" x14ac:dyDescent="0.2">
      <c r="A25" s="9">
        <v>2022</v>
      </c>
      <c r="B25" s="7">
        <v>67000</v>
      </c>
      <c r="C25" s="8">
        <v>78.900000000000006</v>
      </c>
      <c r="D25" s="7">
        <v>49000</v>
      </c>
      <c r="E25" s="8">
        <v>57.5</v>
      </c>
      <c r="F25" s="7"/>
    </row>
    <row r="26" spans="1:6" x14ac:dyDescent="0.2">
      <c r="A26" s="9">
        <v>2023</v>
      </c>
      <c r="B26" s="7">
        <v>72000</v>
      </c>
      <c r="C26" s="8">
        <v>84.6</v>
      </c>
      <c r="D26" s="7">
        <v>53000</v>
      </c>
      <c r="E26" s="8">
        <v>62.2</v>
      </c>
      <c r="F26" s="7"/>
    </row>
    <row r="27" spans="1:6" x14ac:dyDescent="0.2">
      <c r="A27" s="9"/>
      <c r="B27" s="7"/>
      <c r="C27" s="8"/>
      <c r="D27" s="7"/>
      <c r="E27" s="8"/>
      <c r="F27" s="7"/>
    </row>
    <row r="28" spans="1:6" ht="15.75" x14ac:dyDescent="0.25">
      <c r="A28" s="3" t="s">
        <v>174</v>
      </c>
    </row>
    <row r="29" spans="1:6" ht="31.5" x14ac:dyDescent="0.25">
      <c r="A29" s="5" t="s">
        <v>167</v>
      </c>
      <c r="B29" s="6" t="s">
        <v>168</v>
      </c>
      <c r="C29" s="6" t="s">
        <v>169</v>
      </c>
      <c r="D29" s="6" t="s">
        <v>170</v>
      </c>
      <c r="E29" s="6" t="s">
        <v>171</v>
      </c>
      <c r="F29" s="6" t="s">
        <v>172</v>
      </c>
    </row>
    <row r="30" spans="1:6" x14ac:dyDescent="0.2">
      <c r="A30" s="9">
        <v>2016</v>
      </c>
      <c r="B30" s="7">
        <v>69000</v>
      </c>
      <c r="C30" s="8">
        <v>74.5</v>
      </c>
      <c r="D30" s="7">
        <v>49000</v>
      </c>
      <c r="E30" s="8">
        <v>52.7</v>
      </c>
      <c r="F30" s="7"/>
    </row>
    <row r="31" spans="1:6" x14ac:dyDescent="0.2">
      <c r="A31" s="9">
        <v>2017</v>
      </c>
      <c r="B31" s="7">
        <v>71000</v>
      </c>
      <c r="C31" s="8">
        <v>72.5</v>
      </c>
      <c r="D31" s="7">
        <v>51000</v>
      </c>
      <c r="E31" s="8">
        <v>51.7</v>
      </c>
      <c r="F31" s="7"/>
    </row>
    <row r="32" spans="1:6" x14ac:dyDescent="0.2">
      <c r="A32" s="9">
        <v>2018</v>
      </c>
      <c r="B32" s="7">
        <v>75000</v>
      </c>
      <c r="C32" s="8">
        <v>78.400000000000006</v>
      </c>
      <c r="D32" s="7">
        <v>54000</v>
      </c>
      <c r="E32" s="8">
        <v>56</v>
      </c>
      <c r="F32" s="7"/>
    </row>
    <row r="33" spans="1:6" x14ac:dyDescent="0.2">
      <c r="A33" s="9">
        <v>2019</v>
      </c>
      <c r="B33" s="7">
        <v>81000</v>
      </c>
      <c r="C33" s="8">
        <v>84.3</v>
      </c>
      <c r="D33" s="7">
        <v>58000</v>
      </c>
      <c r="E33" s="8">
        <v>60.5</v>
      </c>
      <c r="F33" s="7"/>
    </row>
    <row r="34" spans="1:6" x14ac:dyDescent="0.2">
      <c r="A34" s="9">
        <v>2020</v>
      </c>
      <c r="B34" s="7">
        <v>78000</v>
      </c>
      <c r="C34" s="8">
        <v>83.3</v>
      </c>
      <c r="D34" s="7">
        <v>56000</v>
      </c>
      <c r="E34" s="8">
        <v>60.5</v>
      </c>
      <c r="F34" s="7"/>
    </row>
    <row r="35" spans="1:6" x14ac:dyDescent="0.2">
      <c r="A35" s="9">
        <v>2021</v>
      </c>
      <c r="B35" s="7">
        <v>75000</v>
      </c>
      <c r="C35" s="8">
        <v>80.7</v>
      </c>
      <c r="D35" s="7">
        <v>55000</v>
      </c>
      <c r="E35" s="8">
        <v>59.8</v>
      </c>
      <c r="F35" s="7"/>
    </row>
    <row r="36" spans="1:6" x14ac:dyDescent="0.2">
      <c r="A36" s="9">
        <v>2022</v>
      </c>
      <c r="B36" s="7">
        <v>77000</v>
      </c>
      <c r="C36" s="8">
        <v>80.099999999999994</v>
      </c>
      <c r="D36" s="7">
        <v>57000</v>
      </c>
      <c r="E36" s="8">
        <v>59.6</v>
      </c>
      <c r="F36" s="7"/>
    </row>
    <row r="37" spans="1:6" x14ac:dyDescent="0.2">
      <c r="A37" s="9">
        <v>2023</v>
      </c>
      <c r="B37" s="7">
        <v>77000</v>
      </c>
      <c r="C37" s="8">
        <v>82.2</v>
      </c>
      <c r="D37" s="7">
        <v>61000</v>
      </c>
      <c r="E37" s="8">
        <v>65.5</v>
      </c>
      <c r="F37" s="7"/>
    </row>
    <row r="38" spans="1:6" x14ac:dyDescent="0.2">
      <c r="A38" s="9"/>
      <c r="B38" s="7"/>
      <c r="C38" s="8"/>
      <c r="D38" s="7"/>
      <c r="E38" s="8"/>
      <c r="F38" s="7"/>
    </row>
    <row r="39" spans="1:6" ht="15.75" x14ac:dyDescent="0.25">
      <c r="A39" s="3" t="s">
        <v>175</v>
      </c>
    </row>
    <row r="40" spans="1:6" ht="31.5" x14ac:dyDescent="0.25">
      <c r="A40" s="5" t="s">
        <v>167</v>
      </c>
      <c r="B40" s="6" t="s">
        <v>168</v>
      </c>
      <c r="C40" s="6" t="s">
        <v>169</v>
      </c>
      <c r="D40" s="6" t="s">
        <v>170</v>
      </c>
      <c r="E40" s="6" t="s">
        <v>171</v>
      </c>
      <c r="F40" s="6" t="s">
        <v>172</v>
      </c>
    </row>
    <row r="41" spans="1:6" x14ac:dyDescent="0.2">
      <c r="A41" s="9">
        <v>2016</v>
      </c>
      <c r="B41" s="7">
        <v>92000</v>
      </c>
      <c r="C41" s="8">
        <v>71</v>
      </c>
      <c r="D41" s="7">
        <v>60000</v>
      </c>
      <c r="E41" s="8">
        <v>46.1</v>
      </c>
      <c r="F41" s="7"/>
    </row>
    <row r="42" spans="1:6" x14ac:dyDescent="0.2">
      <c r="A42" s="9">
        <v>2017</v>
      </c>
      <c r="B42" s="7">
        <v>92000</v>
      </c>
      <c r="C42" s="8">
        <v>74.7</v>
      </c>
      <c r="D42" s="7">
        <v>64000</v>
      </c>
      <c r="E42" s="8">
        <v>51.5</v>
      </c>
      <c r="F42" s="7"/>
    </row>
    <row r="43" spans="1:6" x14ac:dyDescent="0.2">
      <c r="A43" s="9">
        <v>2018</v>
      </c>
      <c r="B43" s="7">
        <v>98000</v>
      </c>
      <c r="C43" s="8">
        <v>74.5</v>
      </c>
      <c r="D43" s="7">
        <v>69000</v>
      </c>
      <c r="E43" s="8">
        <v>52.5</v>
      </c>
      <c r="F43" s="7"/>
    </row>
    <row r="44" spans="1:6" x14ac:dyDescent="0.2">
      <c r="A44" s="9">
        <v>2019</v>
      </c>
      <c r="B44" s="7">
        <v>96000</v>
      </c>
      <c r="C44" s="8">
        <v>75.400000000000006</v>
      </c>
      <c r="D44" s="7">
        <v>65000</v>
      </c>
      <c r="E44" s="8">
        <v>51.6</v>
      </c>
      <c r="F44" s="7"/>
    </row>
    <row r="45" spans="1:6" x14ac:dyDescent="0.2">
      <c r="A45" s="9">
        <v>2020</v>
      </c>
      <c r="B45" s="7">
        <v>95000</v>
      </c>
      <c r="C45" s="8">
        <v>76</v>
      </c>
      <c r="D45" s="7">
        <v>68000</v>
      </c>
      <c r="E45" s="8">
        <v>54.3</v>
      </c>
      <c r="F45" s="7"/>
    </row>
    <row r="46" spans="1:6" x14ac:dyDescent="0.2">
      <c r="A46" s="9">
        <v>2021</v>
      </c>
      <c r="B46" s="7">
        <v>97000</v>
      </c>
      <c r="C46" s="8">
        <v>76.7</v>
      </c>
      <c r="D46" s="7">
        <v>72000</v>
      </c>
      <c r="E46" s="8">
        <v>57.3</v>
      </c>
      <c r="F46" s="7"/>
    </row>
    <row r="47" spans="1:6" x14ac:dyDescent="0.2">
      <c r="A47" s="9">
        <v>2022</v>
      </c>
      <c r="B47" s="7">
        <v>100000</v>
      </c>
      <c r="C47" s="8">
        <v>78.099999999999994</v>
      </c>
      <c r="D47" s="7">
        <v>73000</v>
      </c>
      <c r="E47" s="8">
        <v>56.7</v>
      </c>
      <c r="F47" s="7"/>
    </row>
    <row r="48" spans="1:6" x14ac:dyDescent="0.2">
      <c r="A48" s="9">
        <v>2023</v>
      </c>
      <c r="B48" s="7">
        <v>107000</v>
      </c>
      <c r="C48" s="8">
        <v>79.5</v>
      </c>
      <c r="D48" s="7">
        <v>81000</v>
      </c>
      <c r="E48" s="8">
        <v>60.3</v>
      </c>
      <c r="F48" s="7"/>
    </row>
    <row r="49" spans="1:6" x14ac:dyDescent="0.2">
      <c r="A49" s="9"/>
      <c r="B49" s="7"/>
      <c r="C49" s="8"/>
      <c r="D49" s="7"/>
      <c r="E49" s="8"/>
      <c r="F49" s="7"/>
    </row>
    <row r="50" spans="1:6" ht="15.75" x14ac:dyDescent="0.25">
      <c r="A50" s="3" t="s">
        <v>176</v>
      </c>
    </row>
    <row r="51" spans="1:6" ht="31.5" x14ac:dyDescent="0.25">
      <c r="A51" s="5" t="s">
        <v>167</v>
      </c>
      <c r="B51" s="6" t="s">
        <v>168</v>
      </c>
      <c r="C51" s="6" t="s">
        <v>169</v>
      </c>
      <c r="D51" s="6" t="s">
        <v>170</v>
      </c>
      <c r="E51" s="6" t="s">
        <v>171</v>
      </c>
      <c r="F51" s="6" t="s">
        <v>172</v>
      </c>
    </row>
    <row r="52" spans="1:6" x14ac:dyDescent="0.2">
      <c r="A52" s="9">
        <v>2016</v>
      </c>
      <c r="B52" s="7">
        <v>152000</v>
      </c>
      <c r="C52" s="8">
        <v>73.7</v>
      </c>
      <c r="D52" s="7">
        <v>107000</v>
      </c>
      <c r="E52" s="8">
        <v>51.9</v>
      </c>
      <c r="F52" s="7"/>
    </row>
    <row r="53" spans="1:6" x14ac:dyDescent="0.2">
      <c r="A53" s="9">
        <v>2017</v>
      </c>
      <c r="B53" s="7">
        <v>137000</v>
      </c>
      <c r="C53" s="8">
        <v>66.900000000000006</v>
      </c>
      <c r="D53" s="7">
        <v>107000</v>
      </c>
      <c r="E53" s="8">
        <v>52.3</v>
      </c>
      <c r="F53" s="7"/>
    </row>
    <row r="54" spans="1:6" x14ac:dyDescent="0.2">
      <c r="A54" s="9">
        <v>2018</v>
      </c>
      <c r="B54" s="7">
        <v>153000</v>
      </c>
      <c r="C54" s="8">
        <v>73.5</v>
      </c>
      <c r="D54" s="7">
        <v>116000</v>
      </c>
      <c r="E54" s="8">
        <v>55.9</v>
      </c>
      <c r="F54" s="7"/>
    </row>
    <row r="55" spans="1:6" x14ac:dyDescent="0.2">
      <c r="A55" s="9">
        <v>2019</v>
      </c>
      <c r="B55" s="7">
        <v>142000</v>
      </c>
      <c r="C55" s="8">
        <v>68.900000000000006</v>
      </c>
      <c r="D55" s="7">
        <v>106000</v>
      </c>
      <c r="E55" s="8">
        <v>51.5</v>
      </c>
      <c r="F55" s="7"/>
    </row>
    <row r="56" spans="1:6" x14ac:dyDescent="0.2">
      <c r="A56" s="9">
        <v>2020</v>
      </c>
      <c r="B56" s="7">
        <v>146000</v>
      </c>
      <c r="C56" s="8">
        <v>70</v>
      </c>
      <c r="D56" s="7">
        <v>113000</v>
      </c>
      <c r="E56" s="8">
        <v>53.9</v>
      </c>
      <c r="F56" s="7"/>
    </row>
    <row r="57" spans="1:6" x14ac:dyDescent="0.2">
      <c r="A57" s="9">
        <v>2021</v>
      </c>
      <c r="B57" s="7">
        <v>155000</v>
      </c>
      <c r="C57" s="8">
        <v>76.2</v>
      </c>
      <c r="D57" s="7">
        <v>124000</v>
      </c>
      <c r="E57" s="8">
        <v>60.9</v>
      </c>
      <c r="F57" s="7"/>
    </row>
    <row r="58" spans="1:6" x14ac:dyDescent="0.2">
      <c r="A58" s="9">
        <v>2022</v>
      </c>
      <c r="B58" s="7">
        <v>152000</v>
      </c>
      <c r="C58" s="8">
        <v>74.2</v>
      </c>
      <c r="D58" s="7">
        <v>117000</v>
      </c>
      <c r="E58" s="8">
        <v>57</v>
      </c>
      <c r="F58" s="7"/>
    </row>
    <row r="59" spans="1:6" x14ac:dyDescent="0.2">
      <c r="A59" s="9">
        <v>2023</v>
      </c>
      <c r="B59" s="7">
        <v>152000</v>
      </c>
      <c r="C59" s="8">
        <v>73.3</v>
      </c>
      <c r="D59" s="7">
        <v>115000</v>
      </c>
      <c r="E59" s="8">
        <v>55.8</v>
      </c>
      <c r="F59" s="7"/>
    </row>
    <row r="60" spans="1:6" x14ac:dyDescent="0.2">
      <c r="A60" s="9"/>
      <c r="B60" s="7"/>
      <c r="C60" s="8"/>
      <c r="D60" s="7"/>
      <c r="E60" s="8"/>
      <c r="F60" s="7"/>
    </row>
    <row r="61" spans="1:6" ht="15.75" x14ac:dyDescent="0.25">
      <c r="A61" s="3" t="s">
        <v>177</v>
      </c>
    </row>
    <row r="62" spans="1:6" ht="31.5" x14ac:dyDescent="0.25">
      <c r="A62" s="5" t="s">
        <v>167</v>
      </c>
      <c r="B62" s="6" t="s">
        <v>168</v>
      </c>
      <c r="C62" s="6" t="s">
        <v>169</v>
      </c>
      <c r="D62" s="6" t="s">
        <v>170</v>
      </c>
      <c r="E62" s="6" t="s">
        <v>171</v>
      </c>
      <c r="F62" s="6" t="s">
        <v>172</v>
      </c>
    </row>
    <row r="63" spans="1:6" x14ac:dyDescent="0.2">
      <c r="A63" s="9">
        <v>2016</v>
      </c>
      <c r="B63" s="7">
        <v>61000</v>
      </c>
      <c r="C63" s="8">
        <v>73.400000000000006</v>
      </c>
      <c r="D63" s="7">
        <v>35000</v>
      </c>
      <c r="E63" s="8">
        <v>41.6</v>
      </c>
      <c r="F63" s="7"/>
    </row>
    <row r="64" spans="1:6" x14ac:dyDescent="0.2">
      <c r="A64" s="9">
        <v>2017</v>
      </c>
      <c r="B64" s="7">
        <v>57000</v>
      </c>
      <c r="C64" s="8">
        <v>74</v>
      </c>
      <c r="D64" s="7">
        <v>35000</v>
      </c>
      <c r="E64" s="8">
        <v>45.5</v>
      </c>
      <c r="F64" s="7"/>
    </row>
    <row r="65" spans="1:6" x14ac:dyDescent="0.2">
      <c r="A65" s="9">
        <v>2018</v>
      </c>
      <c r="B65" s="7">
        <v>57000</v>
      </c>
      <c r="C65" s="8">
        <v>72.599999999999994</v>
      </c>
      <c r="D65" s="7">
        <v>40000</v>
      </c>
      <c r="E65" s="8">
        <v>51</v>
      </c>
      <c r="F65" s="7"/>
    </row>
    <row r="66" spans="1:6" x14ac:dyDescent="0.2">
      <c r="A66" s="9">
        <v>2019</v>
      </c>
      <c r="B66" s="7">
        <v>56000</v>
      </c>
      <c r="C66" s="8">
        <v>70.599999999999994</v>
      </c>
      <c r="D66" s="7">
        <v>42000</v>
      </c>
      <c r="E66" s="8">
        <v>52.1</v>
      </c>
      <c r="F66" s="7"/>
    </row>
    <row r="67" spans="1:6" x14ac:dyDescent="0.2">
      <c r="A67" s="9">
        <v>2020</v>
      </c>
      <c r="B67" s="7">
        <v>57000</v>
      </c>
      <c r="C67" s="8">
        <v>68.900000000000006</v>
      </c>
      <c r="D67" s="7">
        <v>41000</v>
      </c>
      <c r="E67" s="8">
        <v>49.5</v>
      </c>
      <c r="F67" s="7"/>
    </row>
    <row r="68" spans="1:6" x14ac:dyDescent="0.2">
      <c r="A68" s="9">
        <v>2021</v>
      </c>
      <c r="B68" s="7">
        <v>64000</v>
      </c>
      <c r="C68" s="8">
        <v>78.400000000000006</v>
      </c>
      <c r="D68" s="7">
        <v>47000</v>
      </c>
      <c r="E68" s="8">
        <v>56.9</v>
      </c>
      <c r="F68" s="7"/>
    </row>
    <row r="69" spans="1:6" x14ac:dyDescent="0.2">
      <c r="A69" s="9">
        <v>2022</v>
      </c>
      <c r="B69" s="7">
        <v>50000</v>
      </c>
      <c r="C69" s="8">
        <v>68.7</v>
      </c>
      <c r="D69" s="7">
        <v>36000</v>
      </c>
      <c r="E69" s="8">
        <v>49.8</v>
      </c>
      <c r="F69" s="7"/>
    </row>
    <row r="70" spans="1:6" x14ac:dyDescent="0.2">
      <c r="A70" s="9">
        <v>2023</v>
      </c>
      <c r="B70" s="7">
        <v>55000</v>
      </c>
      <c r="C70" s="8">
        <v>73.400000000000006</v>
      </c>
      <c r="D70" s="7">
        <v>39000</v>
      </c>
      <c r="E70" s="8">
        <v>52</v>
      </c>
      <c r="F70" s="7"/>
    </row>
    <row r="71" spans="1:6" x14ac:dyDescent="0.2">
      <c r="A71" s="9"/>
      <c r="B71" s="7"/>
      <c r="C71" s="8"/>
      <c r="D71" s="7"/>
      <c r="E71" s="8"/>
      <c r="F71" s="7"/>
    </row>
    <row r="72" spans="1:6" ht="15.75" x14ac:dyDescent="0.25">
      <c r="A72" s="3" t="s">
        <v>178</v>
      </c>
    </row>
    <row r="73" spans="1:6" ht="31.5" x14ac:dyDescent="0.25">
      <c r="A73" s="5" t="s">
        <v>167</v>
      </c>
      <c r="B73" s="6" t="s">
        <v>168</v>
      </c>
      <c r="C73" s="6" t="s">
        <v>169</v>
      </c>
      <c r="D73" s="6" t="s">
        <v>170</v>
      </c>
      <c r="E73" s="6" t="s">
        <v>171</v>
      </c>
      <c r="F73" s="6" t="s">
        <v>172</v>
      </c>
    </row>
    <row r="74" spans="1:6" x14ac:dyDescent="0.2">
      <c r="A74" s="9">
        <v>2016</v>
      </c>
      <c r="B74" s="7">
        <v>60000</v>
      </c>
      <c r="C74" s="8">
        <v>63.5</v>
      </c>
      <c r="D74" s="7">
        <v>40000</v>
      </c>
      <c r="E74" s="8">
        <v>42.9</v>
      </c>
      <c r="F74" s="7"/>
    </row>
    <row r="75" spans="1:6" x14ac:dyDescent="0.2">
      <c r="A75" s="9">
        <v>2017</v>
      </c>
      <c r="B75" s="7">
        <v>64000</v>
      </c>
      <c r="C75" s="8">
        <v>69.599999999999994</v>
      </c>
      <c r="D75" s="7">
        <v>45000</v>
      </c>
      <c r="E75" s="8">
        <v>48.4</v>
      </c>
      <c r="F75" s="7"/>
    </row>
    <row r="76" spans="1:6" x14ac:dyDescent="0.2">
      <c r="A76" s="9">
        <v>2018</v>
      </c>
      <c r="B76" s="7">
        <v>66000</v>
      </c>
      <c r="C76" s="8">
        <v>71.900000000000006</v>
      </c>
      <c r="D76" s="7">
        <v>48000</v>
      </c>
      <c r="E76" s="8">
        <v>51.6</v>
      </c>
      <c r="F76" s="7"/>
    </row>
    <row r="77" spans="1:6" x14ac:dyDescent="0.2">
      <c r="A77" s="9">
        <v>2019</v>
      </c>
      <c r="B77" s="7">
        <v>64000</v>
      </c>
      <c r="C77" s="8">
        <v>70.2</v>
      </c>
      <c r="D77" s="7">
        <v>45000</v>
      </c>
      <c r="E77" s="8">
        <v>49</v>
      </c>
      <c r="F77" s="7"/>
    </row>
    <row r="78" spans="1:6" x14ac:dyDescent="0.2">
      <c r="A78" s="9">
        <v>2020</v>
      </c>
      <c r="B78" s="7">
        <v>62000</v>
      </c>
      <c r="C78" s="8">
        <v>68</v>
      </c>
      <c r="D78" s="7">
        <v>42000</v>
      </c>
      <c r="E78" s="8">
        <v>46.1</v>
      </c>
      <c r="F78" s="7"/>
    </row>
    <row r="79" spans="1:6" x14ac:dyDescent="0.2">
      <c r="A79" s="9">
        <v>2021</v>
      </c>
      <c r="B79" s="7">
        <v>68000</v>
      </c>
      <c r="C79" s="8">
        <v>75.8</v>
      </c>
      <c r="D79" s="7">
        <v>51000</v>
      </c>
      <c r="E79" s="8">
        <v>57.1</v>
      </c>
      <c r="F79" s="7"/>
    </row>
    <row r="80" spans="1:6" x14ac:dyDescent="0.2">
      <c r="A80" s="9">
        <v>2022</v>
      </c>
      <c r="B80" s="7">
        <v>63000</v>
      </c>
      <c r="C80" s="8">
        <v>76.400000000000006</v>
      </c>
      <c r="D80" s="7">
        <v>48000</v>
      </c>
      <c r="E80" s="8">
        <v>57.7</v>
      </c>
      <c r="F80" s="7"/>
    </row>
    <row r="81" spans="1:6" x14ac:dyDescent="0.2">
      <c r="A81" s="9">
        <v>2023</v>
      </c>
      <c r="B81" s="7">
        <v>65000</v>
      </c>
      <c r="C81" s="8">
        <v>74.2</v>
      </c>
      <c r="D81" s="7">
        <v>47000</v>
      </c>
      <c r="E81" s="8">
        <v>53.4</v>
      </c>
      <c r="F81" s="7"/>
    </row>
    <row r="82" spans="1:6" x14ac:dyDescent="0.2">
      <c r="A82" s="9"/>
      <c r="B82" s="7"/>
      <c r="C82" s="8"/>
      <c r="D82" s="7"/>
      <c r="E82" s="8"/>
      <c r="F82" s="7"/>
    </row>
    <row r="83" spans="1:6" ht="15.75" x14ac:dyDescent="0.25">
      <c r="A83" s="3" t="s">
        <v>179</v>
      </c>
    </row>
    <row r="84" spans="1:6" ht="31.5" x14ac:dyDescent="0.25">
      <c r="A84" s="5" t="s">
        <v>167</v>
      </c>
      <c r="B84" s="6" t="s">
        <v>168</v>
      </c>
      <c r="C84" s="6" t="s">
        <v>169</v>
      </c>
      <c r="D84" s="6" t="s">
        <v>170</v>
      </c>
      <c r="E84" s="6" t="s">
        <v>171</v>
      </c>
      <c r="F84" s="6" t="s">
        <v>172</v>
      </c>
    </row>
    <row r="85" spans="1:6" x14ac:dyDescent="0.2">
      <c r="A85" s="9">
        <v>2016</v>
      </c>
      <c r="B85" s="7">
        <v>53000</v>
      </c>
      <c r="C85" s="8">
        <v>75.099999999999994</v>
      </c>
      <c r="D85" s="7">
        <v>36000</v>
      </c>
      <c r="E85" s="8">
        <v>51.1</v>
      </c>
      <c r="F85" s="7"/>
    </row>
    <row r="86" spans="1:6" x14ac:dyDescent="0.2">
      <c r="A86" s="9">
        <v>2017</v>
      </c>
      <c r="B86" s="7">
        <v>54000</v>
      </c>
      <c r="C86" s="8">
        <v>78.5</v>
      </c>
      <c r="D86" s="7">
        <v>39000</v>
      </c>
      <c r="E86" s="8">
        <v>56.8</v>
      </c>
      <c r="F86" s="7"/>
    </row>
    <row r="87" spans="1:6" x14ac:dyDescent="0.2">
      <c r="A87" s="9">
        <v>2018</v>
      </c>
      <c r="B87" s="7">
        <v>56000</v>
      </c>
      <c r="C87" s="8">
        <v>78.3</v>
      </c>
      <c r="D87" s="7">
        <v>38000</v>
      </c>
      <c r="E87" s="8">
        <v>53.2</v>
      </c>
      <c r="F87" s="7"/>
    </row>
    <row r="88" spans="1:6" x14ac:dyDescent="0.2">
      <c r="A88" s="9">
        <v>2019</v>
      </c>
      <c r="B88" s="7">
        <v>50000</v>
      </c>
      <c r="C88" s="8">
        <v>73.2</v>
      </c>
      <c r="D88" s="7">
        <v>34000</v>
      </c>
      <c r="E88" s="8">
        <v>49.7</v>
      </c>
      <c r="F88" s="7"/>
    </row>
    <row r="89" spans="1:6" x14ac:dyDescent="0.2">
      <c r="A89" s="9">
        <v>2020</v>
      </c>
      <c r="B89" s="7">
        <v>52000</v>
      </c>
      <c r="C89" s="8">
        <v>76.900000000000006</v>
      </c>
      <c r="D89" s="7">
        <v>34000</v>
      </c>
      <c r="E89" s="8">
        <v>50.8</v>
      </c>
      <c r="F89" s="7"/>
    </row>
    <row r="90" spans="1:6" x14ac:dyDescent="0.2">
      <c r="A90" s="9">
        <v>2021</v>
      </c>
      <c r="B90" s="7">
        <v>50000</v>
      </c>
      <c r="C90" s="8">
        <v>75.8</v>
      </c>
      <c r="D90" s="7">
        <v>37000</v>
      </c>
      <c r="E90" s="8">
        <v>56.4</v>
      </c>
      <c r="F90" s="7"/>
    </row>
    <row r="91" spans="1:6" x14ac:dyDescent="0.2">
      <c r="A91" s="9">
        <v>2022</v>
      </c>
      <c r="B91" s="7">
        <v>46000</v>
      </c>
      <c r="C91" s="8">
        <v>74</v>
      </c>
      <c r="D91" s="7">
        <v>33000</v>
      </c>
      <c r="E91" s="8">
        <v>52.2</v>
      </c>
      <c r="F91" s="7"/>
    </row>
    <row r="92" spans="1:6" x14ac:dyDescent="0.2">
      <c r="A92" s="9">
        <v>2023</v>
      </c>
      <c r="B92" s="7">
        <v>52000</v>
      </c>
      <c r="C92" s="8">
        <v>78.8</v>
      </c>
      <c r="D92" s="7">
        <v>39000</v>
      </c>
      <c r="E92" s="8">
        <v>59.2</v>
      </c>
      <c r="F92" s="7"/>
    </row>
    <row r="93" spans="1:6" x14ac:dyDescent="0.2">
      <c r="A93" s="9"/>
      <c r="B93" s="7"/>
      <c r="C93" s="8"/>
      <c r="D93" s="7"/>
      <c r="E93" s="8"/>
      <c r="F93" s="7"/>
    </row>
    <row r="94" spans="1:6" ht="15.75" x14ac:dyDescent="0.25">
      <c r="A94" s="3" t="s">
        <v>180</v>
      </c>
    </row>
    <row r="95" spans="1:6" ht="31.5" x14ac:dyDescent="0.25">
      <c r="A95" s="5" t="s">
        <v>167</v>
      </c>
      <c r="B95" s="6" t="s">
        <v>168</v>
      </c>
      <c r="C95" s="6" t="s">
        <v>169</v>
      </c>
      <c r="D95" s="6" t="s">
        <v>170</v>
      </c>
      <c r="E95" s="6" t="s">
        <v>171</v>
      </c>
      <c r="F95" s="6" t="s">
        <v>172</v>
      </c>
    </row>
    <row r="96" spans="1:6" x14ac:dyDescent="0.2">
      <c r="A96" s="9">
        <v>2016</v>
      </c>
      <c r="B96" s="7">
        <v>69000</v>
      </c>
      <c r="C96" s="8">
        <v>77</v>
      </c>
      <c r="D96" s="7">
        <v>49000</v>
      </c>
      <c r="E96" s="8">
        <v>54.2</v>
      </c>
      <c r="F96" s="7"/>
    </row>
    <row r="97" spans="1:6" x14ac:dyDescent="0.2">
      <c r="A97" s="9">
        <v>2017</v>
      </c>
      <c r="B97" s="7">
        <v>69000</v>
      </c>
      <c r="C97" s="8">
        <v>79.900000000000006</v>
      </c>
      <c r="D97" s="7">
        <v>49000</v>
      </c>
      <c r="E97" s="8">
        <v>56.5</v>
      </c>
      <c r="F97" s="7"/>
    </row>
    <row r="98" spans="1:6" x14ac:dyDescent="0.2">
      <c r="A98" s="9">
        <v>2018</v>
      </c>
      <c r="B98" s="7">
        <v>69000</v>
      </c>
      <c r="C98" s="8">
        <v>84.8</v>
      </c>
      <c r="D98" s="7">
        <v>52000</v>
      </c>
      <c r="E98" s="8">
        <v>63.8</v>
      </c>
      <c r="F98" s="7"/>
    </row>
    <row r="99" spans="1:6" x14ac:dyDescent="0.2">
      <c r="A99" s="9">
        <v>2019</v>
      </c>
      <c r="B99" s="7">
        <v>76000</v>
      </c>
      <c r="C99" s="8">
        <v>88.1</v>
      </c>
      <c r="D99" s="7">
        <v>63000</v>
      </c>
      <c r="E99" s="8">
        <v>72.8</v>
      </c>
      <c r="F99" s="7"/>
    </row>
    <row r="100" spans="1:6" x14ac:dyDescent="0.2">
      <c r="A100" s="9">
        <v>2020</v>
      </c>
      <c r="B100" s="7">
        <v>72000</v>
      </c>
      <c r="C100" s="8">
        <v>85</v>
      </c>
      <c r="D100" s="7">
        <v>60000</v>
      </c>
      <c r="E100" s="8">
        <v>71</v>
      </c>
      <c r="F100" s="7"/>
    </row>
    <row r="101" spans="1:6" x14ac:dyDescent="0.2">
      <c r="A101" s="9">
        <v>2021</v>
      </c>
      <c r="B101" s="7">
        <v>79000</v>
      </c>
      <c r="C101" s="8">
        <v>83.6</v>
      </c>
      <c r="D101" s="7">
        <v>66000</v>
      </c>
      <c r="E101" s="8">
        <v>70.3</v>
      </c>
      <c r="F101" s="7"/>
    </row>
    <row r="102" spans="1:6" x14ac:dyDescent="0.2">
      <c r="A102" s="9">
        <v>2022</v>
      </c>
      <c r="B102" s="7">
        <v>73000</v>
      </c>
      <c r="C102" s="8">
        <v>77.3</v>
      </c>
      <c r="D102" s="7">
        <v>59000</v>
      </c>
      <c r="E102" s="8">
        <v>62</v>
      </c>
      <c r="F102" s="7"/>
    </row>
    <row r="103" spans="1:6" x14ac:dyDescent="0.2">
      <c r="A103" s="9">
        <v>2023</v>
      </c>
      <c r="B103" s="7">
        <v>70000</v>
      </c>
      <c r="C103" s="8">
        <v>77.7</v>
      </c>
      <c r="D103" s="7">
        <v>58000</v>
      </c>
      <c r="E103" s="8">
        <v>64.3</v>
      </c>
      <c r="F103" s="7"/>
    </row>
    <row r="104" spans="1:6" x14ac:dyDescent="0.2">
      <c r="A104" s="9"/>
      <c r="B104" s="7"/>
      <c r="C104" s="8"/>
      <c r="D104" s="7"/>
      <c r="E104" s="8"/>
      <c r="F104" s="7"/>
    </row>
    <row r="105" spans="1:6" ht="15.75" x14ac:dyDescent="0.25">
      <c r="A105" s="3" t="s">
        <v>277</v>
      </c>
    </row>
    <row r="106" spans="1:6" ht="31.5" x14ac:dyDescent="0.25">
      <c r="A106" s="5" t="s">
        <v>167</v>
      </c>
      <c r="B106" s="6" t="s">
        <v>168</v>
      </c>
      <c r="C106" s="6" t="s">
        <v>169</v>
      </c>
      <c r="D106" s="6" t="s">
        <v>170</v>
      </c>
      <c r="E106" s="6" t="s">
        <v>171</v>
      </c>
      <c r="F106" s="6" t="s">
        <v>172</v>
      </c>
    </row>
    <row r="107" spans="1:6" x14ac:dyDescent="0.2">
      <c r="A107" s="9">
        <v>2016</v>
      </c>
      <c r="B107" s="7">
        <v>63000</v>
      </c>
      <c r="C107" s="8">
        <v>76</v>
      </c>
      <c r="D107" s="7">
        <v>46000</v>
      </c>
      <c r="E107" s="8">
        <v>54.8</v>
      </c>
      <c r="F107" s="7"/>
    </row>
    <row r="108" spans="1:6" x14ac:dyDescent="0.2">
      <c r="A108" s="9">
        <v>2017</v>
      </c>
      <c r="B108" s="7">
        <v>58000</v>
      </c>
      <c r="C108" s="8">
        <v>68.3</v>
      </c>
      <c r="D108" s="7">
        <v>43000</v>
      </c>
      <c r="E108" s="8">
        <v>50.6</v>
      </c>
      <c r="F108" s="7"/>
    </row>
    <row r="109" spans="1:6" x14ac:dyDescent="0.2">
      <c r="A109" s="9">
        <v>2018</v>
      </c>
      <c r="B109" s="7">
        <v>57000</v>
      </c>
      <c r="C109" s="8">
        <v>71.099999999999994</v>
      </c>
      <c r="D109" s="7">
        <v>43000</v>
      </c>
      <c r="E109" s="8">
        <v>53.7</v>
      </c>
      <c r="F109" s="7"/>
    </row>
    <row r="110" spans="1:6" x14ac:dyDescent="0.2">
      <c r="A110" s="9">
        <v>2019</v>
      </c>
      <c r="B110" s="7">
        <v>63000</v>
      </c>
      <c r="C110" s="8">
        <v>80.3</v>
      </c>
      <c r="D110" s="7">
        <v>50000</v>
      </c>
      <c r="E110" s="8">
        <v>63.3</v>
      </c>
      <c r="F110" s="7"/>
    </row>
    <row r="111" spans="1:6" x14ac:dyDescent="0.2">
      <c r="A111" s="9">
        <v>2020</v>
      </c>
      <c r="B111" s="7">
        <v>61000</v>
      </c>
      <c r="C111" s="8">
        <v>80</v>
      </c>
      <c r="D111" s="7">
        <v>47000</v>
      </c>
      <c r="E111" s="8">
        <v>61.8</v>
      </c>
      <c r="F111" s="7"/>
    </row>
    <row r="112" spans="1:6" x14ac:dyDescent="0.2">
      <c r="A112" s="9">
        <v>2021</v>
      </c>
      <c r="B112" s="7">
        <v>60000</v>
      </c>
      <c r="C112" s="8">
        <v>75.3</v>
      </c>
      <c r="D112" s="7">
        <v>46000</v>
      </c>
      <c r="E112" s="8">
        <v>57</v>
      </c>
      <c r="F112" s="7"/>
    </row>
    <row r="113" spans="1:6" x14ac:dyDescent="0.2">
      <c r="A113" s="9">
        <v>2022</v>
      </c>
      <c r="B113" s="7">
        <v>65000</v>
      </c>
      <c r="C113" s="8">
        <v>80</v>
      </c>
      <c r="D113" s="7">
        <v>48000</v>
      </c>
      <c r="E113" s="8">
        <v>59.7</v>
      </c>
      <c r="F113" s="7"/>
    </row>
    <row r="114" spans="1:6" x14ac:dyDescent="0.2">
      <c r="A114" s="9">
        <v>2023</v>
      </c>
      <c r="B114" s="7">
        <v>68000</v>
      </c>
      <c r="C114" s="8">
        <v>82.5</v>
      </c>
      <c r="D114" s="7">
        <v>50000</v>
      </c>
      <c r="E114" s="8">
        <v>61</v>
      </c>
      <c r="F114" s="7"/>
    </row>
    <row r="115" spans="1:6" x14ac:dyDescent="0.2">
      <c r="A115" s="9"/>
      <c r="B115" s="7"/>
      <c r="C115" s="8"/>
      <c r="D115" s="7"/>
      <c r="E115" s="8"/>
      <c r="F115" s="7"/>
    </row>
    <row r="116" spans="1:6" ht="15.75" x14ac:dyDescent="0.25">
      <c r="A116" s="3" t="s">
        <v>286</v>
      </c>
    </row>
    <row r="117" spans="1:6" ht="31.5" x14ac:dyDescent="0.25">
      <c r="A117" s="5" t="s">
        <v>167</v>
      </c>
      <c r="B117" s="6" t="s">
        <v>168</v>
      </c>
      <c r="C117" s="6" t="s">
        <v>169</v>
      </c>
      <c r="D117" s="6" t="s">
        <v>170</v>
      </c>
      <c r="E117" s="6" t="s">
        <v>171</v>
      </c>
      <c r="F117" s="6" t="s">
        <v>172</v>
      </c>
    </row>
    <row r="118" spans="1:6" x14ac:dyDescent="0.2">
      <c r="A118" s="9">
        <v>2016</v>
      </c>
      <c r="B118" s="7">
        <v>62000</v>
      </c>
      <c r="C118" s="8">
        <v>73.2</v>
      </c>
      <c r="D118" s="7">
        <v>38000</v>
      </c>
      <c r="E118" s="8">
        <v>45.7</v>
      </c>
      <c r="F118" s="7"/>
    </row>
    <row r="119" spans="1:6" x14ac:dyDescent="0.2">
      <c r="A119" s="9">
        <v>2017</v>
      </c>
      <c r="B119" s="7">
        <v>59000</v>
      </c>
      <c r="C119" s="8">
        <v>70.900000000000006</v>
      </c>
      <c r="D119" s="7">
        <v>42000</v>
      </c>
      <c r="E119" s="8">
        <v>50.8</v>
      </c>
      <c r="F119" s="7"/>
    </row>
    <row r="120" spans="1:6" x14ac:dyDescent="0.2">
      <c r="A120" s="9">
        <v>2018</v>
      </c>
      <c r="B120" s="7">
        <v>61000</v>
      </c>
      <c r="C120" s="8">
        <v>70</v>
      </c>
      <c r="D120" s="7">
        <v>44000</v>
      </c>
      <c r="E120" s="8">
        <v>49.9</v>
      </c>
      <c r="F120" s="7"/>
    </row>
    <row r="121" spans="1:6" x14ac:dyDescent="0.2">
      <c r="A121" s="9">
        <v>2019</v>
      </c>
      <c r="B121" s="7">
        <v>64000</v>
      </c>
      <c r="C121" s="8">
        <v>72.2</v>
      </c>
      <c r="D121" s="7">
        <v>45000</v>
      </c>
      <c r="E121" s="8">
        <v>51.4</v>
      </c>
      <c r="F121" s="7"/>
    </row>
    <row r="122" spans="1:6" x14ac:dyDescent="0.2">
      <c r="A122" s="9">
        <v>2020</v>
      </c>
      <c r="B122" s="7">
        <v>70000</v>
      </c>
      <c r="C122" s="8">
        <v>76.400000000000006</v>
      </c>
      <c r="D122" s="7">
        <v>48000</v>
      </c>
      <c r="E122" s="8">
        <v>52.6</v>
      </c>
      <c r="F122" s="7"/>
    </row>
    <row r="123" spans="1:6" x14ac:dyDescent="0.2">
      <c r="A123" s="9">
        <v>2021</v>
      </c>
      <c r="B123" s="7">
        <v>72000</v>
      </c>
      <c r="C123" s="8">
        <v>80.5</v>
      </c>
      <c r="D123" s="7">
        <v>54000</v>
      </c>
      <c r="E123" s="8">
        <v>60.9</v>
      </c>
      <c r="F123" s="7"/>
    </row>
    <row r="124" spans="1:6" x14ac:dyDescent="0.2">
      <c r="A124" s="9">
        <v>2022</v>
      </c>
      <c r="B124" s="7">
        <v>66000</v>
      </c>
      <c r="C124" s="8">
        <v>76.3</v>
      </c>
      <c r="D124" s="7">
        <v>51000</v>
      </c>
      <c r="E124" s="8">
        <v>58.8</v>
      </c>
      <c r="F124" s="7"/>
    </row>
    <row r="125" spans="1:6" x14ac:dyDescent="0.2">
      <c r="A125" s="9">
        <v>2023</v>
      </c>
      <c r="B125" s="7">
        <v>67000</v>
      </c>
      <c r="C125" s="8">
        <v>75.8</v>
      </c>
      <c r="D125" s="7">
        <v>50000</v>
      </c>
      <c r="E125" s="8">
        <v>56</v>
      </c>
      <c r="F125" s="7"/>
    </row>
    <row r="126" spans="1:6" x14ac:dyDescent="0.2">
      <c r="A126" s="9"/>
      <c r="B126" s="7"/>
      <c r="C126" s="8"/>
      <c r="D126" s="7"/>
      <c r="E126" s="8"/>
      <c r="F126" s="7"/>
    </row>
    <row r="127" spans="1:6" ht="15.75" x14ac:dyDescent="0.25">
      <c r="A127" s="3" t="s">
        <v>181</v>
      </c>
    </row>
    <row r="128" spans="1:6" ht="31.5" x14ac:dyDescent="0.25">
      <c r="A128" s="5" t="s">
        <v>167</v>
      </c>
      <c r="B128" s="6" t="s">
        <v>168</v>
      </c>
      <c r="C128" s="6" t="s">
        <v>169</v>
      </c>
      <c r="D128" s="6" t="s">
        <v>170</v>
      </c>
      <c r="E128" s="6" t="s">
        <v>171</v>
      </c>
      <c r="F128" s="6" t="s">
        <v>172</v>
      </c>
    </row>
    <row r="129" spans="1:6" x14ac:dyDescent="0.2">
      <c r="A129" s="9">
        <v>2016</v>
      </c>
      <c r="B129" s="7">
        <v>81000</v>
      </c>
      <c r="C129" s="8">
        <v>75.599999999999994</v>
      </c>
      <c r="D129" s="7">
        <v>58000</v>
      </c>
      <c r="E129" s="8">
        <v>54.7</v>
      </c>
      <c r="F129" s="7"/>
    </row>
    <row r="130" spans="1:6" x14ac:dyDescent="0.2">
      <c r="A130" s="9">
        <v>2017</v>
      </c>
      <c r="B130" s="7">
        <v>77000</v>
      </c>
      <c r="C130" s="8">
        <v>68.5</v>
      </c>
      <c r="D130" s="7">
        <v>52000</v>
      </c>
      <c r="E130" s="8">
        <v>46.2</v>
      </c>
      <c r="F130" s="7"/>
    </row>
    <row r="131" spans="1:6" x14ac:dyDescent="0.2">
      <c r="A131" s="9">
        <v>2018</v>
      </c>
      <c r="B131" s="7">
        <v>76000</v>
      </c>
      <c r="C131" s="8">
        <v>72.400000000000006</v>
      </c>
      <c r="D131" s="7">
        <v>53000</v>
      </c>
      <c r="E131" s="8">
        <v>50.3</v>
      </c>
      <c r="F131" s="7"/>
    </row>
    <row r="132" spans="1:6" x14ac:dyDescent="0.2">
      <c r="A132" s="9">
        <v>2019</v>
      </c>
      <c r="B132" s="7">
        <v>82000</v>
      </c>
      <c r="C132" s="8">
        <v>77.8</v>
      </c>
      <c r="D132" s="7">
        <v>59000</v>
      </c>
      <c r="E132" s="8">
        <v>55.4</v>
      </c>
      <c r="F132" s="7"/>
    </row>
    <row r="133" spans="1:6" x14ac:dyDescent="0.2">
      <c r="A133" s="9">
        <v>2020</v>
      </c>
      <c r="B133" s="7">
        <v>88000</v>
      </c>
      <c r="C133" s="8">
        <v>80.400000000000006</v>
      </c>
      <c r="D133" s="7">
        <v>63000</v>
      </c>
      <c r="E133" s="8">
        <v>58.1</v>
      </c>
      <c r="F133" s="7"/>
    </row>
    <row r="134" spans="1:6" x14ac:dyDescent="0.2">
      <c r="A134" s="9">
        <v>2021</v>
      </c>
      <c r="B134" s="7">
        <v>84000</v>
      </c>
      <c r="C134" s="8">
        <v>77.7</v>
      </c>
      <c r="D134" s="7">
        <v>62000</v>
      </c>
      <c r="E134" s="8">
        <v>57.4</v>
      </c>
      <c r="F134" s="7"/>
    </row>
    <row r="135" spans="1:6" x14ac:dyDescent="0.2">
      <c r="A135" s="9">
        <v>2022</v>
      </c>
      <c r="B135" s="7">
        <v>77000</v>
      </c>
      <c r="C135" s="8">
        <v>76</v>
      </c>
      <c r="D135" s="7">
        <v>57000</v>
      </c>
      <c r="E135" s="8">
        <v>56.1</v>
      </c>
      <c r="F135" s="7"/>
    </row>
    <row r="136" spans="1:6" x14ac:dyDescent="0.2">
      <c r="A136" s="9">
        <v>2023</v>
      </c>
      <c r="B136" s="7">
        <v>88000</v>
      </c>
      <c r="C136" s="8">
        <v>82.1</v>
      </c>
      <c r="D136" s="7">
        <v>68000</v>
      </c>
      <c r="E136" s="8">
        <v>63.4</v>
      </c>
      <c r="F136" s="7"/>
    </row>
    <row r="137" spans="1:6" x14ac:dyDescent="0.2">
      <c r="A137" s="9"/>
      <c r="B137" s="7"/>
      <c r="C137" s="8"/>
      <c r="D137" s="7"/>
      <c r="E137" s="8"/>
      <c r="F137" s="7"/>
    </row>
  </sheetData>
  <pageMargins left="0.7" right="0.7" top="0.75" bottom="0.75" header="0.3" footer="0.3"/>
  <pageSetup paperSize="9" orientation="portrait" horizontalDpi="300" verticalDpi="300"/>
  <tableParts count="12">
    <tablePart r:id="rId1"/>
    <tablePart r:id="rId2"/>
    <tablePart r:id="rId3"/>
    <tablePart r:id="rId4"/>
    <tablePart r:id="rId5"/>
    <tablePart r:id="rId6"/>
    <tablePart r:id="rId7"/>
    <tablePart r:id="rId8"/>
    <tablePart r:id="rId9"/>
    <tablePart r:id="rId10"/>
    <tablePart r:id="rId11"/>
    <tablePart r:id="rId1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37"/>
  <sheetViews>
    <sheetView workbookViewId="0"/>
  </sheetViews>
  <sheetFormatPr defaultColWidth="10.88671875" defaultRowHeight="15" x14ac:dyDescent="0.2"/>
  <cols>
    <col min="1" max="5" width="18.77734375" customWidth="1"/>
    <col min="6" max="6" width="50.77734375" customWidth="1"/>
  </cols>
  <sheetData>
    <row r="1" spans="1:6" ht="19.5" x14ac:dyDescent="0.3">
      <c r="A1" s="2" t="s">
        <v>182</v>
      </c>
    </row>
    <row r="2" spans="1:6" x14ac:dyDescent="0.2">
      <c r="A2" t="s">
        <v>162</v>
      </c>
    </row>
    <row r="3" spans="1:6" x14ac:dyDescent="0.2">
      <c r="A3" t="s">
        <v>163</v>
      </c>
    </row>
    <row r="4" spans="1:6" x14ac:dyDescent="0.2">
      <c r="A4" t="s">
        <v>164</v>
      </c>
    </row>
    <row r="5" spans="1:6" x14ac:dyDescent="0.2">
      <c r="A5" t="s">
        <v>165</v>
      </c>
    </row>
    <row r="6" spans="1:6" ht="15.75" x14ac:dyDescent="0.25">
      <c r="A6" s="3" t="s">
        <v>183</v>
      </c>
    </row>
    <row r="7" spans="1:6" ht="31.5" x14ac:dyDescent="0.25">
      <c r="A7" s="5" t="s">
        <v>167</v>
      </c>
      <c r="B7" s="6" t="s">
        <v>168</v>
      </c>
      <c r="C7" s="6" t="s">
        <v>169</v>
      </c>
      <c r="D7" s="6" t="s">
        <v>170</v>
      </c>
      <c r="E7" s="6" t="s">
        <v>171</v>
      </c>
      <c r="F7" s="6" t="s">
        <v>172</v>
      </c>
    </row>
    <row r="8" spans="1:6" x14ac:dyDescent="0.2">
      <c r="A8" s="9">
        <v>2016</v>
      </c>
      <c r="B8" s="7">
        <v>396000</v>
      </c>
      <c r="C8" s="8">
        <v>71.400000000000006</v>
      </c>
      <c r="D8" s="7">
        <v>272000</v>
      </c>
      <c r="E8" s="8">
        <v>49.1</v>
      </c>
      <c r="F8" s="7"/>
    </row>
    <row r="9" spans="1:6" x14ac:dyDescent="0.2">
      <c r="A9" s="9">
        <v>2017</v>
      </c>
      <c r="B9" s="7">
        <v>391000</v>
      </c>
      <c r="C9" s="8">
        <v>70.599999999999994</v>
      </c>
      <c r="D9" s="7">
        <v>280000</v>
      </c>
      <c r="E9" s="8">
        <v>50.5</v>
      </c>
      <c r="F9" s="7"/>
    </row>
    <row r="10" spans="1:6" x14ac:dyDescent="0.2">
      <c r="A10" s="9">
        <v>2018</v>
      </c>
      <c r="B10" s="7">
        <v>400000</v>
      </c>
      <c r="C10" s="8">
        <v>72.8</v>
      </c>
      <c r="D10" s="7">
        <v>284000</v>
      </c>
      <c r="E10" s="8">
        <v>51.8</v>
      </c>
      <c r="F10" s="7"/>
    </row>
    <row r="11" spans="1:6" x14ac:dyDescent="0.2">
      <c r="A11" s="9">
        <v>2019</v>
      </c>
      <c r="B11" s="7">
        <v>406000</v>
      </c>
      <c r="C11" s="8">
        <v>73.7</v>
      </c>
      <c r="D11" s="7">
        <v>292000</v>
      </c>
      <c r="E11" s="8">
        <v>53.1</v>
      </c>
      <c r="F11" s="7"/>
    </row>
    <row r="12" spans="1:6" x14ac:dyDescent="0.2">
      <c r="A12" s="9">
        <v>2020</v>
      </c>
      <c r="B12" s="7">
        <v>409000</v>
      </c>
      <c r="C12" s="8">
        <v>74.5</v>
      </c>
      <c r="D12" s="7">
        <v>298000</v>
      </c>
      <c r="E12" s="8">
        <v>54.2</v>
      </c>
      <c r="F12" s="7"/>
    </row>
    <row r="13" spans="1:6" x14ac:dyDescent="0.2">
      <c r="A13" s="9">
        <v>2021</v>
      </c>
      <c r="B13" s="7">
        <v>413000</v>
      </c>
      <c r="C13" s="8">
        <v>75.099999999999994</v>
      </c>
      <c r="D13" s="7">
        <v>311000</v>
      </c>
      <c r="E13" s="8">
        <v>56.6</v>
      </c>
      <c r="F13" s="7"/>
    </row>
    <row r="14" spans="1:6" x14ac:dyDescent="0.2">
      <c r="A14" s="9">
        <v>2022</v>
      </c>
      <c r="B14" s="7">
        <v>407000</v>
      </c>
      <c r="C14" s="8">
        <v>75</v>
      </c>
      <c r="D14" s="7">
        <v>298000</v>
      </c>
      <c r="E14" s="8">
        <v>54.9</v>
      </c>
      <c r="F14" s="7"/>
    </row>
    <row r="15" spans="1:6" x14ac:dyDescent="0.2">
      <c r="A15" s="9">
        <v>2023</v>
      </c>
      <c r="B15" s="7">
        <v>427000</v>
      </c>
      <c r="C15" s="8">
        <v>77</v>
      </c>
      <c r="D15" s="7">
        <v>319000</v>
      </c>
      <c r="E15" s="8">
        <v>57.5</v>
      </c>
      <c r="F15" s="7"/>
    </row>
    <row r="16" spans="1:6" x14ac:dyDescent="0.2">
      <c r="A16" s="9"/>
      <c r="B16" s="7"/>
      <c r="C16" s="8"/>
      <c r="D16" s="7"/>
      <c r="E16" s="8"/>
      <c r="F16" s="7"/>
    </row>
    <row r="17" spans="1:6" ht="15.75" x14ac:dyDescent="0.25">
      <c r="A17" s="3" t="s">
        <v>184</v>
      </c>
    </row>
    <row r="18" spans="1:6" ht="31.5" x14ac:dyDescent="0.25">
      <c r="A18" s="5" t="s">
        <v>167</v>
      </c>
      <c r="B18" s="6" t="s">
        <v>168</v>
      </c>
      <c r="C18" s="6" t="s">
        <v>169</v>
      </c>
      <c r="D18" s="6" t="s">
        <v>170</v>
      </c>
      <c r="E18" s="6" t="s">
        <v>171</v>
      </c>
      <c r="F18" s="6" t="s">
        <v>172</v>
      </c>
    </row>
    <row r="19" spans="1:6" x14ac:dyDescent="0.2">
      <c r="A19" s="9">
        <v>2016</v>
      </c>
      <c r="B19" s="7">
        <v>29000</v>
      </c>
      <c r="C19" s="8">
        <v>67.5</v>
      </c>
      <c r="D19" s="7">
        <v>21000</v>
      </c>
      <c r="E19" s="8">
        <v>48.4</v>
      </c>
      <c r="F19" s="7"/>
    </row>
    <row r="20" spans="1:6" x14ac:dyDescent="0.2">
      <c r="A20" s="9">
        <v>2017</v>
      </c>
      <c r="B20" s="7">
        <v>34000</v>
      </c>
      <c r="C20" s="8">
        <v>74.2</v>
      </c>
      <c r="D20" s="7">
        <v>25000</v>
      </c>
      <c r="E20" s="8">
        <v>54.6</v>
      </c>
      <c r="F20" s="7"/>
    </row>
    <row r="21" spans="1:6" x14ac:dyDescent="0.2">
      <c r="A21" s="9">
        <v>2018</v>
      </c>
      <c r="B21" s="7">
        <v>34000</v>
      </c>
      <c r="C21" s="8">
        <v>80.2</v>
      </c>
      <c r="D21" s="7">
        <v>23000</v>
      </c>
      <c r="E21" s="8">
        <v>55.1</v>
      </c>
      <c r="F21" s="7"/>
    </row>
    <row r="22" spans="1:6" x14ac:dyDescent="0.2">
      <c r="A22" s="9">
        <v>2019</v>
      </c>
      <c r="B22" s="7">
        <v>36000</v>
      </c>
      <c r="C22" s="8">
        <v>76.8</v>
      </c>
      <c r="D22" s="7">
        <v>27000</v>
      </c>
      <c r="E22" s="8">
        <v>57.2</v>
      </c>
      <c r="F22" s="7"/>
    </row>
    <row r="23" spans="1:6" x14ac:dyDescent="0.2">
      <c r="A23" s="9">
        <v>2020</v>
      </c>
      <c r="B23" s="7">
        <v>36000</v>
      </c>
      <c r="C23" s="8">
        <v>80</v>
      </c>
      <c r="D23" s="7">
        <v>27000</v>
      </c>
      <c r="E23" s="8">
        <v>61.7</v>
      </c>
      <c r="F23" s="7"/>
    </row>
    <row r="24" spans="1:6" x14ac:dyDescent="0.2">
      <c r="A24" s="9">
        <v>2021</v>
      </c>
      <c r="B24" s="7">
        <v>32000</v>
      </c>
      <c r="C24" s="8">
        <v>83.3</v>
      </c>
      <c r="D24" s="7">
        <v>25000</v>
      </c>
      <c r="E24" s="8">
        <v>64.099999999999994</v>
      </c>
      <c r="F24" s="7"/>
    </row>
    <row r="25" spans="1:6" x14ac:dyDescent="0.2">
      <c r="A25" s="9">
        <v>2022</v>
      </c>
      <c r="B25" s="7">
        <v>33000</v>
      </c>
      <c r="C25" s="8">
        <v>79.400000000000006</v>
      </c>
      <c r="D25" s="7">
        <v>23000</v>
      </c>
      <c r="E25" s="8">
        <v>56.8</v>
      </c>
      <c r="F25" s="7"/>
    </row>
    <row r="26" spans="1:6" x14ac:dyDescent="0.2">
      <c r="A26" s="9">
        <v>2023</v>
      </c>
      <c r="B26" s="7">
        <v>36000</v>
      </c>
      <c r="C26" s="8">
        <v>82.7</v>
      </c>
      <c r="D26" s="7">
        <v>26000</v>
      </c>
      <c r="E26" s="8">
        <v>59.6</v>
      </c>
      <c r="F26" s="7"/>
    </row>
    <row r="27" spans="1:6" x14ac:dyDescent="0.2">
      <c r="A27" s="9"/>
      <c r="B27" s="7"/>
      <c r="C27" s="8"/>
      <c r="D27" s="7"/>
      <c r="E27" s="8"/>
      <c r="F27" s="7"/>
    </row>
    <row r="28" spans="1:6" ht="15.75" x14ac:dyDescent="0.25">
      <c r="A28" s="3" t="s">
        <v>185</v>
      </c>
    </row>
    <row r="29" spans="1:6" ht="31.5" x14ac:dyDescent="0.25">
      <c r="A29" s="5" t="s">
        <v>167</v>
      </c>
      <c r="B29" s="6" t="s">
        <v>168</v>
      </c>
      <c r="C29" s="6" t="s">
        <v>169</v>
      </c>
      <c r="D29" s="6" t="s">
        <v>170</v>
      </c>
      <c r="E29" s="6" t="s">
        <v>171</v>
      </c>
      <c r="F29" s="6" t="s">
        <v>172</v>
      </c>
    </row>
    <row r="30" spans="1:6" x14ac:dyDescent="0.2">
      <c r="A30" s="9">
        <v>2016</v>
      </c>
      <c r="B30" s="7">
        <v>33000</v>
      </c>
      <c r="C30" s="8">
        <v>72.900000000000006</v>
      </c>
      <c r="D30" s="7">
        <v>23000</v>
      </c>
      <c r="E30" s="8">
        <v>51.1</v>
      </c>
      <c r="F30" s="7"/>
    </row>
    <row r="31" spans="1:6" x14ac:dyDescent="0.2">
      <c r="A31" s="9">
        <v>2017</v>
      </c>
      <c r="B31" s="7">
        <v>33000</v>
      </c>
      <c r="C31" s="8">
        <v>70.3</v>
      </c>
      <c r="D31" s="7">
        <v>24000</v>
      </c>
      <c r="E31" s="8">
        <v>50</v>
      </c>
      <c r="F31" s="7"/>
    </row>
    <row r="32" spans="1:6" x14ac:dyDescent="0.2">
      <c r="A32" s="9">
        <v>2018</v>
      </c>
      <c r="B32" s="7">
        <v>36000</v>
      </c>
      <c r="C32" s="8">
        <v>76.400000000000006</v>
      </c>
      <c r="D32" s="7">
        <v>25000</v>
      </c>
      <c r="E32" s="8">
        <v>54.1</v>
      </c>
      <c r="F32" s="7"/>
    </row>
    <row r="33" spans="1:6" x14ac:dyDescent="0.2">
      <c r="A33" s="9">
        <v>2019</v>
      </c>
      <c r="B33" s="7">
        <v>39000</v>
      </c>
      <c r="C33" s="8">
        <v>83.4</v>
      </c>
      <c r="D33" s="7">
        <v>28000</v>
      </c>
      <c r="E33" s="8">
        <v>58.8</v>
      </c>
      <c r="F33" s="7"/>
    </row>
    <row r="34" spans="1:6" x14ac:dyDescent="0.2">
      <c r="A34" s="9">
        <v>2020</v>
      </c>
      <c r="B34" s="7">
        <v>37000</v>
      </c>
      <c r="C34" s="8">
        <v>81.3</v>
      </c>
      <c r="D34" s="7">
        <v>25000</v>
      </c>
      <c r="E34" s="8">
        <v>56.6</v>
      </c>
      <c r="F34" s="7"/>
    </row>
    <row r="35" spans="1:6" x14ac:dyDescent="0.2">
      <c r="A35" s="9">
        <v>2021</v>
      </c>
      <c r="B35" s="7">
        <v>32000</v>
      </c>
      <c r="C35" s="8">
        <v>75.5</v>
      </c>
      <c r="D35" s="7">
        <v>24000</v>
      </c>
      <c r="E35" s="8">
        <v>56.1</v>
      </c>
      <c r="F35" s="7"/>
    </row>
    <row r="36" spans="1:6" x14ac:dyDescent="0.2">
      <c r="A36" s="9">
        <v>2022</v>
      </c>
      <c r="B36" s="7">
        <v>37000</v>
      </c>
      <c r="C36" s="8">
        <v>79.900000000000006</v>
      </c>
      <c r="D36" s="7">
        <v>27000</v>
      </c>
      <c r="E36" s="8">
        <v>58.7</v>
      </c>
      <c r="F36" s="7"/>
    </row>
    <row r="37" spans="1:6" x14ac:dyDescent="0.2">
      <c r="A37" s="9">
        <v>2023</v>
      </c>
      <c r="B37" s="7">
        <v>39000</v>
      </c>
      <c r="C37" s="8">
        <v>82</v>
      </c>
      <c r="D37" s="7">
        <v>30000</v>
      </c>
      <c r="E37" s="8">
        <v>63.3</v>
      </c>
      <c r="F37" s="7"/>
    </row>
    <row r="38" spans="1:6" x14ac:dyDescent="0.2">
      <c r="A38" s="9"/>
      <c r="B38" s="7"/>
      <c r="C38" s="8"/>
      <c r="D38" s="7"/>
      <c r="E38" s="8"/>
      <c r="F38" s="7"/>
    </row>
    <row r="39" spans="1:6" ht="15.75" x14ac:dyDescent="0.25">
      <c r="A39" s="3" t="s">
        <v>186</v>
      </c>
    </row>
    <row r="40" spans="1:6" ht="31.5" x14ac:dyDescent="0.25">
      <c r="A40" s="5" t="s">
        <v>167</v>
      </c>
      <c r="B40" s="6" t="s">
        <v>168</v>
      </c>
      <c r="C40" s="6" t="s">
        <v>169</v>
      </c>
      <c r="D40" s="6" t="s">
        <v>170</v>
      </c>
      <c r="E40" s="6" t="s">
        <v>171</v>
      </c>
      <c r="F40" s="6" t="s">
        <v>172</v>
      </c>
    </row>
    <row r="41" spans="1:6" x14ac:dyDescent="0.2">
      <c r="A41" s="9">
        <v>2016</v>
      </c>
      <c r="B41" s="7">
        <v>46000</v>
      </c>
      <c r="C41" s="8">
        <v>69.900000000000006</v>
      </c>
      <c r="D41" s="7">
        <v>29000</v>
      </c>
      <c r="E41" s="8">
        <v>43</v>
      </c>
      <c r="F41" s="7"/>
    </row>
    <row r="42" spans="1:6" x14ac:dyDescent="0.2">
      <c r="A42" s="9">
        <v>2017</v>
      </c>
      <c r="B42" s="7">
        <v>46000</v>
      </c>
      <c r="C42" s="8">
        <v>72.5</v>
      </c>
      <c r="D42" s="7">
        <v>31000</v>
      </c>
      <c r="E42" s="8">
        <v>48.9</v>
      </c>
      <c r="F42" s="7"/>
    </row>
    <row r="43" spans="1:6" x14ac:dyDescent="0.2">
      <c r="A43" s="9">
        <v>2018</v>
      </c>
      <c r="B43" s="7">
        <v>45000</v>
      </c>
      <c r="C43" s="8">
        <v>72</v>
      </c>
      <c r="D43" s="7">
        <v>32000</v>
      </c>
      <c r="E43" s="8">
        <v>50.3</v>
      </c>
      <c r="F43" s="7"/>
    </row>
    <row r="44" spans="1:6" x14ac:dyDescent="0.2">
      <c r="A44" s="9">
        <v>2019</v>
      </c>
      <c r="B44" s="7">
        <v>46000</v>
      </c>
      <c r="C44" s="8">
        <v>74.900000000000006</v>
      </c>
      <c r="D44" s="7">
        <v>31000</v>
      </c>
      <c r="E44" s="8">
        <v>49.8</v>
      </c>
      <c r="F44" s="7"/>
    </row>
    <row r="45" spans="1:6" x14ac:dyDescent="0.2">
      <c r="A45" s="9">
        <v>2020</v>
      </c>
      <c r="B45" s="7">
        <v>48000</v>
      </c>
      <c r="C45" s="8">
        <v>75.7</v>
      </c>
      <c r="D45" s="7">
        <v>33000</v>
      </c>
      <c r="E45" s="8">
        <v>53</v>
      </c>
      <c r="F45" s="7"/>
    </row>
    <row r="46" spans="1:6" x14ac:dyDescent="0.2">
      <c r="A46" s="9">
        <v>2021</v>
      </c>
      <c r="B46" s="7">
        <v>45000</v>
      </c>
      <c r="C46" s="8">
        <v>72.2</v>
      </c>
      <c r="D46" s="7">
        <v>32000</v>
      </c>
      <c r="E46" s="8">
        <v>50.9</v>
      </c>
      <c r="F46" s="7"/>
    </row>
    <row r="47" spans="1:6" x14ac:dyDescent="0.2">
      <c r="A47" s="9">
        <v>2022</v>
      </c>
      <c r="B47" s="7">
        <v>48000</v>
      </c>
      <c r="C47" s="8">
        <v>75.400000000000006</v>
      </c>
      <c r="D47" s="7">
        <v>33000</v>
      </c>
      <c r="E47" s="8">
        <v>52.9</v>
      </c>
      <c r="F47" s="7"/>
    </row>
    <row r="48" spans="1:6" x14ac:dyDescent="0.2">
      <c r="A48" s="9">
        <v>2023</v>
      </c>
      <c r="B48" s="7">
        <v>49000</v>
      </c>
      <c r="C48" s="8">
        <v>77.7</v>
      </c>
      <c r="D48" s="7">
        <v>36000</v>
      </c>
      <c r="E48" s="8">
        <v>57.3</v>
      </c>
      <c r="F48" s="7"/>
    </row>
    <row r="49" spans="1:6" x14ac:dyDescent="0.2">
      <c r="A49" s="9"/>
      <c r="B49" s="7"/>
      <c r="C49" s="8"/>
      <c r="D49" s="7"/>
      <c r="E49" s="8"/>
      <c r="F49" s="7"/>
    </row>
    <row r="50" spans="1:6" ht="15.75" x14ac:dyDescent="0.25">
      <c r="A50" s="3" t="s">
        <v>187</v>
      </c>
    </row>
    <row r="51" spans="1:6" ht="31.5" x14ac:dyDescent="0.25">
      <c r="A51" s="5" t="s">
        <v>167</v>
      </c>
      <c r="B51" s="6" t="s">
        <v>168</v>
      </c>
      <c r="C51" s="6" t="s">
        <v>169</v>
      </c>
      <c r="D51" s="6" t="s">
        <v>170</v>
      </c>
      <c r="E51" s="6" t="s">
        <v>171</v>
      </c>
      <c r="F51" s="6" t="s">
        <v>172</v>
      </c>
    </row>
    <row r="52" spans="1:6" x14ac:dyDescent="0.2">
      <c r="A52" s="9">
        <v>2016</v>
      </c>
      <c r="B52" s="7">
        <v>73000</v>
      </c>
      <c r="C52" s="8">
        <v>74.5</v>
      </c>
      <c r="D52" s="7">
        <v>52000</v>
      </c>
      <c r="E52" s="8">
        <v>53.5</v>
      </c>
      <c r="F52" s="7"/>
    </row>
    <row r="53" spans="1:6" x14ac:dyDescent="0.2">
      <c r="A53" s="9">
        <v>2017</v>
      </c>
      <c r="B53" s="7">
        <v>65000</v>
      </c>
      <c r="C53" s="8">
        <v>67</v>
      </c>
      <c r="D53" s="7">
        <v>53000</v>
      </c>
      <c r="E53" s="8">
        <v>55.5</v>
      </c>
      <c r="F53" s="7"/>
    </row>
    <row r="54" spans="1:6" x14ac:dyDescent="0.2">
      <c r="A54" s="9">
        <v>2018</v>
      </c>
      <c r="B54" s="7">
        <v>75000</v>
      </c>
      <c r="C54" s="8">
        <v>74</v>
      </c>
      <c r="D54" s="7">
        <v>57000</v>
      </c>
      <c r="E54" s="8">
        <v>57.1</v>
      </c>
      <c r="F54" s="7"/>
    </row>
    <row r="55" spans="1:6" x14ac:dyDescent="0.2">
      <c r="A55" s="9">
        <v>2019</v>
      </c>
      <c r="B55" s="7">
        <v>67000</v>
      </c>
      <c r="C55" s="8">
        <v>68.099999999999994</v>
      </c>
      <c r="D55" s="7">
        <v>51000</v>
      </c>
      <c r="E55" s="8">
        <v>51.6</v>
      </c>
      <c r="F55" s="7"/>
    </row>
    <row r="56" spans="1:6" x14ac:dyDescent="0.2">
      <c r="A56" s="9">
        <v>2020</v>
      </c>
      <c r="B56" s="7">
        <v>71000</v>
      </c>
      <c r="C56" s="8">
        <v>68.5</v>
      </c>
      <c r="D56" s="7">
        <v>56000</v>
      </c>
      <c r="E56" s="8">
        <v>54.1</v>
      </c>
      <c r="F56" s="7"/>
    </row>
    <row r="57" spans="1:6" x14ac:dyDescent="0.2">
      <c r="A57" s="9">
        <v>2021</v>
      </c>
      <c r="B57" s="7">
        <v>75000</v>
      </c>
      <c r="C57" s="8">
        <v>71.8</v>
      </c>
      <c r="D57" s="7">
        <v>59000</v>
      </c>
      <c r="E57" s="8">
        <v>57</v>
      </c>
      <c r="F57" s="7"/>
    </row>
    <row r="58" spans="1:6" x14ac:dyDescent="0.2">
      <c r="A58" s="9">
        <v>2022</v>
      </c>
      <c r="B58" s="7">
        <v>76000</v>
      </c>
      <c r="C58" s="8">
        <v>73.900000000000006</v>
      </c>
      <c r="D58" s="7">
        <v>58000</v>
      </c>
      <c r="E58" s="8">
        <v>56.8</v>
      </c>
      <c r="F58" s="7"/>
    </row>
    <row r="59" spans="1:6" x14ac:dyDescent="0.2">
      <c r="A59" s="9">
        <v>2023</v>
      </c>
      <c r="B59" s="7">
        <v>74000</v>
      </c>
      <c r="C59" s="8">
        <v>73</v>
      </c>
      <c r="D59" s="7">
        <v>55000</v>
      </c>
      <c r="E59" s="8">
        <v>54.2</v>
      </c>
      <c r="F59" s="7"/>
    </row>
    <row r="60" spans="1:6" x14ac:dyDescent="0.2">
      <c r="A60" s="9"/>
      <c r="B60" s="7"/>
      <c r="C60" s="8"/>
      <c r="D60" s="7"/>
      <c r="E60" s="8"/>
      <c r="F60" s="7"/>
    </row>
    <row r="61" spans="1:6" ht="15.75" x14ac:dyDescent="0.25">
      <c r="A61" s="3" t="s">
        <v>188</v>
      </c>
    </row>
    <row r="62" spans="1:6" ht="31.5" x14ac:dyDescent="0.25">
      <c r="A62" s="5" t="s">
        <v>167</v>
      </c>
      <c r="B62" s="6" t="s">
        <v>168</v>
      </c>
      <c r="C62" s="6" t="s">
        <v>169</v>
      </c>
      <c r="D62" s="6" t="s">
        <v>170</v>
      </c>
      <c r="E62" s="6" t="s">
        <v>171</v>
      </c>
      <c r="F62" s="6" t="s">
        <v>172</v>
      </c>
    </row>
    <row r="63" spans="1:6" x14ac:dyDescent="0.2">
      <c r="A63" s="9">
        <v>2016</v>
      </c>
      <c r="B63" s="7">
        <v>29000</v>
      </c>
      <c r="C63" s="8">
        <v>72.3</v>
      </c>
      <c r="D63" s="7">
        <v>17000</v>
      </c>
      <c r="E63" s="8">
        <v>43.8</v>
      </c>
      <c r="F63" s="7"/>
    </row>
    <row r="64" spans="1:6" x14ac:dyDescent="0.2">
      <c r="A64" s="9">
        <v>2017</v>
      </c>
      <c r="B64" s="7">
        <v>25000</v>
      </c>
      <c r="C64" s="8">
        <v>69.099999999999994</v>
      </c>
      <c r="D64" s="7">
        <v>16000</v>
      </c>
      <c r="E64" s="8">
        <v>44.3</v>
      </c>
      <c r="F64" s="7"/>
    </row>
    <row r="65" spans="1:6" x14ac:dyDescent="0.2">
      <c r="A65" s="9">
        <v>2018</v>
      </c>
      <c r="B65" s="7">
        <v>26000</v>
      </c>
      <c r="C65" s="8">
        <v>71.900000000000006</v>
      </c>
      <c r="D65" s="7">
        <v>16000</v>
      </c>
      <c r="E65" s="8">
        <v>45.1</v>
      </c>
      <c r="F65" s="7"/>
    </row>
    <row r="66" spans="1:6" x14ac:dyDescent="0.2">
      <c r="A66" s="9">
        <v>2019</v>
      </c>
      <c r="B66" s="7">
        <v>24000</v>
      </c>
      <c r="C66" s="8">
        <v>67.3</v>
      </c>
      <c r="D66" s="7">
        <v>17000</v>
      </c>
      <c r="E66" s="8">
        <v>47.5</v>
      </c>
      <c r="F66" s="7"/>
    </row>
    <row r="67" spans="1:6" x14ac:dyDescent="0.2">
      <c r="A67" s="9">
        <v>2020</v>
      </c>
      <c r="B67" s="7">
        <v>24000</v>
      </c>
      <c r="C67" s="8">
        <v>63.7</v>
      </c>
      <c r="D67" s="7">
        <v>16000</v>
      </c>
      <c r="E67" s="8">
        <v>42.5</v>
      </c>
      <c r="F67" s="7"/>
    </row>
    <row r="68" spans="1:6" x14ac:dyDescent="0.2">
      <c r="A68" s="9">
        <v>2021</v>
      </c>
      <c r="B68" s="7">
        <v>30000</v>
      </c>
      <c r="C68" s="8">
        <v>74.400000000000006</v>
      </c>
      <c r="D68" s="7">
        <v>21000</v>
      </c>
      <c r="E68" s="8">
        <v>53</v>
      </c>
      <c r="F68" s="7"/>
    </row>
    <row r="69" spans="1:6" x14ac:dyDescent="0.2">
      <c r="A69" s="9">
        <v>2022</v>
      </c>
      <c r="B69" s="7">
        <v>23000</v>
      </c>
      <c r="C69" s="8">
        <v>65.3</v>
      </c>
      <c r="D69" s="7">
        <v>17000</v>
      </c>
      <c r="E69" s="8">
        <v>47.5</v>
      </c>
      <c r="F69" s="7"/>
    </row>
    <row r="70" spans="1:6" x14ac:dyDescent="0.2">
      <c r="A70" s="9">
        <v>2023</v>
      </c>
      <c r="B70" s="7">
        <v>24000</v>
      </c>
      <c r="C70" s="8">
        <v>69.900000000000006</v>
      </c>
      <c r="D70" s="7">
        <v>17000</v>
      </c>
      <c r="E70" s="8">
        <v>48.8</v>
      </c>
      <c r="F70" s="7"/>
    </row>
    <row r="71" spans="1:6" x14ac:dyDescent="0.2">
      <c r="A71" s="9"/>
      <c r="B71" s="7"/>
      <c r="C71" s="8"/>
      <c r="D71" s="7"/>
      <c r="E71" s="8"/>
      <c r="F71" s="7"/>
    </row>
    <row r="72" spans="1:6" ht="15.75" x14ac:dyDescent="0.25">
      <c r="A72" s="3" t="s">
        <v>189</v>
      </c>
    </row>
    <row r="73" spans="1:6" ht="31.5" x14ac:dyDescent="0.25">
      <c r="A73" s="5" t="s">
        <v>167</v>
      </c>
      <c r="B73" s="6" t="s">
        <v>168</v>
      </c>
      <c r="C73" s="6" t="s">
        <v>169</v>
      </c>
      <c r="D73" s="6" t="s">
        <v>170</v>
      </c>
      <c r="E73" s="6" t="s">
        <v>171</v>
      </c>
      <c r="F73" s="6" t="s">
        <v>172</v>
      </c>
    </row>
    <row r="74" spans="1:6" x14ac:dyDescent="0.2">
      <c r="A74" s="9">
        <v>2016</v>
      </c>
      <c r="B74" s="7">
        <v>27000</v>
      </c>
      <c r="C74" s="8">
        <v>60</v>
      </c>
      <c r="D74" s="7">
        <v>17000</v>
      </c>
      <c r="E74" s="8">
        <v>38.1</v>
      </c>
      <c r="F74" s="7"/>
    </row>
    <row r="75" spans="1:6" x14ac:dyDescent="0.2">
      <c r="A75" s="9">
        <v>2017</v>
      </c>
      <c r="B75" s="7">
        <v>32000</v>
      </c>
      <c r="C75" s="8">
        <v>68</v>
      </c>
      <c r="D75" s="7">
        <v>23000</v>
      </c>
      <c r="E75" s="8">
        <v>48.9</v>
      </c>
      <c r="F75" s="7"/>
    </row>
    <row r="76" spans="1:6" x14ac:dyDescent="0.2">
      <c r="A76" s="9">
        <v>2018</v>
      </c>
      <c r="B76" s="7">
        <v>32000</v>
      </c>
      <c r="C76" s="8">
        <v>68.3</v>
      </c>
      <c r="D76" s="7">
        <v>23000</v>
      </c>
      <c r="E76" s="8">
        <v>50.3</v>
      </c>
      <c r="F76" s="7"/>
    </row>
    <row r="77" spans="1:6" x14ac:dyDescent="0.2">
      <c r="A77" s="9">
        <v>2019</v>
      </c>
      <c r="B77" s="7">
        <v>30000</v>
      </c>
      <c r="C77" s="8">
        <v>64.5</v>
      </c>
      <c r="D77" s="7">
        <v>20000</v>
      </c>
      <c r="E77" s="8">
        <v>43.2</v>
      </c>
      <c r="F77" s="7"/>
    </row>
    <row r="78" spans="1:6" x14ac:dyDescent="0.2">
      <c r="A78" s="9">
        <v>2020</v>
      </c>
      <c r="B78" s="7">
        <v>29000</v>
      </c>
      <c r="C78" s="8">
        <v>65.2</v>
      </c>
      <c r="D78" s="7">
        <v>19000</v>
      </c>
      <c r="E78" s="8">
        <v>42.6</v>
      </c>
      <c r="F78" s="7"/>
    </row>
    <row r="79" spans="1:6" x14ac:dyDescent="0.2">
      <c r="A79" s="9">
        <v>2021</v>
      </c>
      <c r="B79" s="7">
        <v>32000</v>
      </c>
      <c r="C79" s="8">
        <v>72.8</v>
      </c>
      <c r="D79" s="7">
        <v>25000</v>
      </c>
      <c r="E79" s="8">
        <v>56.1</v>
      </c>
      <c r="F79" s="7"/>
    </row>
    <row r="80" spans="1:6" x14ac:dyDescent="0.2">
      <c r="A80" s="9">
        <v>2022</v>
      </c>
      <c r="B80" s="7">
        <v>29000</v>
      </c>
      <c r="C80" s="8">
        <v>74.099999999999994</v>
      </c>
      <c r="D80" s="7">
        <v>22000</v>
      </c>
      <c r="E80" s="8">
        <v>55.1</v>
      </c>
      <c r="F80" s="7"/>
    </row>
    <row r="81" spans="1:6" x14ac:dyDescent="0.2">
      <c r="A81" s="9">
        <v>2023</v>
      </c>
      <c r="B81" s="7">
        <v>31000</v>
      </c>
      <c r="C81" s="8">
        <v>72.099999999999994</v>
      </c>
      <c r="D81" s="7">
        <v>21000</v>
      </c>
      <c r="E81" s="8">
        <v>49.7</v>
      </c>
      <c r="F81" s="7"/>
    </row>
    <row r="82" spans="1:6" x14ac:dyDescent="0.2">
      <c r="A82" s="9"/>
      <c r="B82" s="7"/>
      <c r="C82" s="8"/>
      <c r="D82" s="7"/>
      <c r="E82" s="8"/>
      <c r="F82" s="7"/>
    </row>
    <row r="83" spans="1:6" ht="15.75" x14ac:dyDescent="0.25">
      <c r="A83" s="3" t="s">
        <v>190</v>
      </c>
    </row>
    <row r="84" spans="1:6" ht="31.5" x14ac:dyDescent="0.25">
      <c r="A84" s="5" t="s">
        <v>167</v>
      </c>
      <c r="B84" s="6" t="s">
        <v>168</v>
      </c>
      <c r="C84" s="6" t="s">
        <v>169</v>
      </c>
      <c r="D84" s="6" t="s">
        <v>170</v>
      </c>
      <c r="E84" s="6" t="s">
        <v>171</v>
      </c>
      <c r="F84" s="6" t="s">
        <v>172</v>
      </c>
    </row>
    <row r="85" spans="1:6" x14ac:dyDescent="0.2">
      <c r="A85" s="9">
        <v>2016</v>
      </c>
      <c r="B85" s="7">
        <v>26000</v>
      </c>
      <c r="C85" s="8">
        <v>72.5</v>
      </c>
      <c r="D85" s="7">
        <v>19000</v>
      </c>
      <c r="E85" s="8">
        <v>52.4</v>
      </c>
      <c r="F85" s="7"/>
    </row>
    <row r="86" spans="1:6" x14ac:dyDescent="0.2">
      <c r="A86" s="9">
        <v>2017</v>
      </c>
      <c r="B86" s="7">
        <v>26000</v>
      </c>
      <c r="C86" s="8">
        <v>74.7</v>
      </c>
      <c r="D86" s="7">
        <v>19000</v>
      </c>
      <c r="E86" s="8">
        <v>52.9</v>
      </c>
      <c r="F86" s="7"/>
    </row>
    <row r="87" spans="1:6" x14ac:dyDescent="0.2">
      <c r="A87" s="9">
        <v>2018</v>
      </c>
      <c r="B87" s="7">
        <v>27000</v>
      </c>
      <c r="C87" s="8">
        <v>74.400000000000006</v>
      </c>
      <c r="D87" s="7">
        <v>18000</v>
      </c>
      <c r="E87" s="8">
        <v>49.2</v>
      </c>
      <c r="F87" s="7"/>
    </row>
    <row r="88" spans="1:6" x14ac:dyDescent="0.2">
      <c r="A88" s="9">
        <v>2019</v>
      </c>
      <c r="B88" s="7">
        <v>26000</v>
      </c>
      <c r="C88" s="8">
        <v>70.099999999999994</v>
      </c>
      <c r="D88" s="7">
        <v>16000</v>
      </c>
      <c r="E88" s="8">
        <v>43.3</v>
      </c>
      <c r="F88" s="7"/>
    </row>
    <row r="89" spans="1:6" x14ac:dyDescent="0.2">
      <c r="A89" s="9">
        <v>2020</v>
      </c>
      <c r="B89" s="7">
        <v>25000</v>
      </c>
      <c r="C89" s="8">
        <v>72.2</v>
      </c>
      <c r="D89" s="7">
        <v>14000</v>
      </c>
      <c r="E89" s="8">
        <v>40.6</v>
      </c>
      <c r="F89" s="7"/>
    </row>
    <row r="90" spans="1:6" x14ac:dyDescent="0.2">
      <c r="A90" s="9">
        <v>2021</v>
      </c>
      <c r="B90" s="7">
        <v>23000</v>
      </c>
      <c r="C90" s="8">
        <v>67.400000000000006</v>
      </c>
      <c r="D90" s="7">
        <v>16000</v>
      </c>
      <c r="E90" s="8">
        <v>45.6</v>
      </c>
      <c r="F90" s="7"/>
    </row>
    <row r="91" spans="1:6" x14ac:dyDescent="0.2">
      <c r="A91" s="9">
        <v>2022</v>
      </c>
      <c r="B91" s="7">
        <v>24000</v>
      </c>
      <c r="C91" s="8">
        <v>72</v>
      </c>
      <c r="D91" s="7">
        <v>17000</v>
      </c>
      <c r="E91" s="8">
        <v>49.4</v>
      </c>
      <c r="F91" s="7"/>
    </row>
    <row r="92" spans="1:6" x14ac:dyDescent="0.2">
      <c r="A92" s="9">
        <v>2023</v>
      </c>
      <c r="B92" s="7">
        <v>26000</v>
      </c>
      <c r="C92" s="8">
        <v>76.2</v>
      </c>
      <c r="D92" s="7">
        <v>19000</v>
      </c>
      <c r="E92" s="8">
        <v>54.4</v>
      </c>
      <c r="F92" s="7"/>
    </row>
    <row r="93" spans="1:6" x14ac:dyDescent="0.2">
      <c r="A93" s="9"/>
      <c r="B93" s="7"/>
      <c r="C93" s="8"/>
      <c r="D93" s="7"/>
      <c r="E93" s="8"/>
      <c r="F93" s="7"/>
    </row>
    <row r="94" spans="1:6" ht="15.75" x14ac:dyDescent="0.25">
      <c r="A94" s="3" t="s">
        <v>191</v>
      </c>
    </row>
    <row r="95" spans="1:6" ht="31.5" x14ac:dyDescent="0.25">
      <c r="A95" s="5" t="s">
        <v>167</v>
      </c>
      <c r="B95" s="6" t="s">
        <v>168</v>
      </c>
      <c r="C95" s="6" t="s">
        <v>169</v>
      </c>
      <c r="D95" s="6" t="s">
        <v>170</v>
      </c>
      <c r="E95" s="6" t="s">
        <v>171</v>
      </c>
      <c r="F95" s="6" t="s">
        <v>172</v>
      </c>
    </row>
    <row r="96" spans="1:6" x14ac:dyDescent="0.2">
      <c r="A96" s="9">
        <v>2016</v>
      </c>
      <c r="B96" s="7">
        <v>34000</v>
      </c>
      <c r="C96" s="8">
        <v>73.8</v>
      </c>
      <c r="D96" s="7">
        <v>24000</v>
      </c>
      <c r="E96" s="8">
        <v>53.1</v>
      </c>
      <c r="F96" s="7"/>
    </row>
    <row r="97" spans="1:6" x14ac:dyDescent="0.2">
      <c r="A97" s="9">
        <v>2017</v>
      </c>
      <c r="B97" s="7">
        <v>35000</v>
      </c>
      <c r="C97" s="8">
        <v>79.599999999999994</v>
      </c>
      <c r="D97" s="7">
        <v>25000</v>
      </c>
      <c r="E97" s="8">
        <v>57.9</v>
      </c>
      <c r="F97" s="7"/>
    </row>
    <row r="98" spans="1:6" x14ac:dyDescent="0.2">
      <c r="A98" s="9">
        <v>2018</v>
      </c>
      <c r="B98" s="7">
        <v>35000</v>
      </c>
      <c r="C98" s="8">
        <v>82.2</v>
      </c>
      <c r="D98" s="7">
        <v>26000</v>
      </c>
      <c r="E98" s="8">
        <v>60.2</v>
      </c>
      <c r="F98" s="7"/>
    </row>
    <row r="99" spans="1:6" x14ac:dyDescent="0.2">
      <c r="A99" s="9">
        <v>2019</v>
      </c>
      <c r="B99" s="7">
        <v>36000</v>
      </c>
      <c r="C99" s="8">
        <v>86.9</v>
      </c>
      <c r="D99" s="7">
        <v>29000</v>
      </c>
      <c r="E99" s="8">
        <v>71.099999999999994</v>
      </c>
      <c r="F99" s="7"/>
    </row>
    <row r="100" spans="1:6" x14ac:dyDescent="0.2">
      <c r="A100" s="9">
        <v>2020</v>
      </c>
      <c r="B100" s="7">
        <v>35000</v>
      </c>
      <c r="C100" s="8">
        <v>86.3</v>
      </c>
      <c r="D100" s="7">
        <v>29000</v>
      </c>
      <c r="E100" s="8">
        <v>71.3</v>
      </c>
      <c r="F100" s="7"/>
    </row>
    <row r="101" spans="1:6" x14ac:dyDescent="0.2">
      <c r="A101" s="9">
        <v>2021</v>
      </c>
      <c r="B101" s="7">
        <v>39000</v>
      </c>
      <c r="C101" s="8">
        <v>82.9</v>
      </c>
      <c r="D101" s="7">
        <v>33000</v>
      </c>
      <c r="E101" s="8">
        <v>71.2</v>
      </c>
      <c r="F101" s="7"/>
    </row>
    <row r="102" spans="1:6" x14ac:dyDescent="0.2">
      <c r="A102" s="9">
        <v>2022</v>
      </c>
      <c r="B102" s="7">
        <v>36000</v>
      </c>
      <c r="C102" s="8">
        <v>75.900000000000006</v>
      </c>
      <c r="D102" s="7">
        <v>29000</v>
      </c>
      <c r="E102" s="8">
        <v>60.5</v>
      </c>
      <c r="F102" s="7"/>
    </row>
    <row r="103" spans="1:6" x14ac:dyDescent="0.2">
      <c r="A103" s="9">
        <v>2023</v>
      </c>
      <c r="B103" s="7">
        <v>35000</v>
      </c>
      <c r="C103" s="8">
        <v>76.7</v>
      </c>
      <c r="D103" s="7">
        <v>30000</v>
      </c>
      <c r="E103" s="8">
        <v>66.099999999999994</v>
      </c>
      <c r="F103" s="7"/>
    </row>
    <row r="104" spans="1:6" x14ac:dyDescent="0.2">
      <c r="A104" s="9"/>
      <c r="B104" s="7"/>
      <c r="C104" s="8"/>
      <c r="D104" s="7"/>
      <c r="E104" s="8"/>
      <c r="F104" s="7"/>
    </row>
    <row r="105" spans="1:6" ht="15.75" x14ac:dyDescent="0.25">
      <c r="A105" s="3" t="s">
        <v>278</v>
      </c>
    </row>
    <row r="106" spans="1:6" ht="31.5" x14ac:dyDescent="0.25">
      <c r="A106" s="5" t="s">
        <v>167</v>
      </c>
      <c r="B106" s="6" t="s">
        <v>168</v>
      </c>
      <c r="C106" s="6" t="s">
        <v>169</v>
      </c>
      <c r="D106" s="6" t="s">
        <v>170</v>
      </c>
      <c r="E106" s="6" t="s">
        <v>171</v>
      </c>
      <c r="F106" s="6" t="s">
        <v>172</v>
      </c>
    </row>
    <row r="107" spans="1:6" x14ac:dyDescent="0.2">
      <c r="A107" s="9">
        <v>2016</v>
      </c>
      <c r="B107" s="7">
        <v>30000</v>
      </c>
      <c r="C107" s="8">
        <v>71.2</v>
      </c>
      <c r="D107" s="7">
        <v>22000</v>
      </c>
      <c r="E107" s="8">
        <v>52.5</v>
      </c>
      <c r="F107" s="7"/>
    </row>
    <row r="108" spans="1:6" x14ac:dyDescent="0.2">
      <c r="A108" s="9">
        <v>2017</v>
      </c>
      <c r="B108" s="7">
        <v>28000</v>
      </c>
      <c r="C108" s="8">
        <v>65.599999999999994</v>
      </c>
      <c r="D108" s="7">
        <v>19000</v>
      </c>
      <c r="E108" s="8">
        <v>44.2</v>
      </c>
      <c r="F108" s="7"/>
    </row>
    <row r="109" spans="1:6" x14ac:dyDescent="0.2">
      <c r="A109" s="9">
        <v>2018</v>
      </c>
      <c r="B109" s="7">
        <v>28000</v>
      </c>
      <c r="C109" s="8">
        <v>67.3</v>
      </c>
      <c r="D109" s="7">
        <v>21000</v>
      </c>
      <c r="E109" s="8">
        <v>50.8</v>
      </c>
      <c r="F109" s="7"/>
    </row>
    <row r="110" spans="1:6" x14ac:dyDescent="0.2">
      <c r="A110" s="9">
        <v>2019</v>
      </c>
      <c r="B110" s="7">
        <v>30000</v>
      </c>
      <c r="C110" s="8">
        <v>79.5</v>
      </c>
      <c r="D110" s="7">
        <v>25000</v>
      </c>
      <c r="E110" s="8">
        <v>65.3</v>
      </c>
      <c r="F110" s="7"/>
    </row>
    <row r="111" spans="1:6" x14ac:dyDescent="0.2">
      <c r="A111" s="9">
        <v>2020</v>
      </c>
      <c r="B111" s="7">
        <v>27000</v>
      </c>
      <c r="C111" s="8">
        <v>77.2</v>
      </c>
      <c r="D111" s="7">
        <v>22000</v>
      </c>
      <c r="E111" s="8">
        <v>62.6</v>
      </c>
      <c r="F111" s="7"/>
    </row>
    <row r="112" spans="1:6" x14ac:dyDescent="0.2">
      <c r="A112" s="9">
        <v>2021</v>
      </c>
      <c r="B112" s="7">
        <v>27000</v>
      </c>
      <c r="C112" s="8">
        <v>75.3</v>
      </c>
      <c r="D112" s="7">
        <v>21000</v>
      </c>
      <c r="E112" s="8">
        <v>57.2</v>
      </c>
      <c r="F112" s="7"/>
    </row>
    <row r="113" spans="1:6" x14ac:dyDescent="0.2">
      <c r="A113" s="9">
        <v>2022</v>
      </c>
      <c r="B113" s="7">
        <v>32000</v>
      </c>
      <c r="C113" s="8">
        <v>79.900000000000006</v>
      </c>
      <c r="D113" s="7">
        <v>23000</v>
      </c>
      <c r="E113" s="8">
        <v>58.9</v>
      </c>
      <c r="F113" s="7"/>
    </row>
    <row r="114" spans="1:6" x14ac:dyDescent="0.2">
      <c r="A114" s="9">
        <v>2023</v>
      </c>
      <c r="B114" s="7">
        <v>34000</v>
      </c>
      <c r="C114" s="8">
        <v>81.7</v>
      </c>
      <c r="D114" s="7">
        <v>25000</v>
      </c>
      <c r="E114" s="8">
        <v>61.1</v>
      </c>
      <c r="F114" s="7"/>
    </row>
    <row r="115" spans="1:6" x14ac:dyDescent="0.2">
      <c r="A115" s="9"/>
      <c r="B115" s="7"/>
      <c r="C115" s="8"/>
      <c r="D115" s="7"/>
      <c r="E115" s="8"/>
      <c r="F115" s="7"/>
    </row>
    <row r="116" spans="1:6" ht="15.75" x14ac:dyDescent="0.25">
      <c r="A116" s="3" t="s">
        <v>287</v>
      </c>
    </row>
    <row r="117" spans="1:6" ht="31.5" x14ac:dyDescent="0.25">
      <c r="A117" s="5" t="s">
        <v>167</v>
      </c>
      <c r="B117" s="6" t="s">
        <v>168</v>
      </c>
      <c r="C117" s="6" t="s">
        <v>169</v>
      </c>
      <c r="D117" s="6" t="s">
        <v>170</v>
      </c>
      <c r="E117" s="6" t="s">
        <v>171</v>
      </c>
      <c r="F117" s="6" t="s">
        <v>172</v>
      </c>
    </row>
    <row r="118" spans="1:6" x14ac:dyDescent="0.2">
      <c r="A118" s="9">
        <v>2016</v>
      </c>
      <c r="B118" s="7">
        <v>29000</v>
      </c>
      <c r="C118" s="8">
        <v>71</v>
      </c>
      <c r="D118" s="7">
        <v>19000</v>
      </c>
      <c r="E118" s="8">
        <v>46.2</v>
      </c>
      <c r="F118" s="7"/>
    </row>
    <row r="119" spans="1:6" x14ac:dyDescent="0.2">
      <c r="A119" s="9">
        <v>2017</v>
      </c>
      <c r="B119" s="7">
        <v>28000</v>
      </c>
      <c r="C119" s="8">
        <v>70.2</v>
      </c>
      <c r="D119" s="7">
        <v>20000</v>
      </c>
      <c r="E119" s="8">
        <v>50.1</v>
      </c>
      <c r="F119" s="7"/>
    </row>
    <row r="120" spans="1:6" x14ac:dyDescent="0.2">
      <c r="A120" s="9">
        <v>2018</v>
      </c>
      <c r="B120" s="7">
        <v>28000</v>
      </c>
      <c r="C120" s="8">
        <v>64.3</v>
      </c>
      <c r="D120" s="7">
        <v>19000</v>
      </c>
      <c r="E120" s="8">
        <v>43.4</v>
      </c>
      <c r="F120" s="7"/>
    </row>
    <row r="121" spans="1:6" x14ac:dyDescent="0.2">
      <c r="A121" s="9">
        <v>2019</v>
      </c>
      <c r="B121" s="7">
        <v>33000</v>
      </c>
      <c r="C121" s="8">
        <v>69.900000000000006</v>
      </c>
      <c r="D121" s="7">
        <v>23000</v>
      </c>
      <c r="E121" s="8">
        <v>48.5</v>
      </c>
      <c r="F121" s="7"/>
    </row>
    <row r="122" spans="1:6" x14ac:dyDescent="0.2">
      <c r="A122" s="9">
        <v>2020</v>
      </c>
      <c r="B122" s="7">
        <v>37000</v>
      </c>
      <c r="C122" s="8">
        <v>76.7</v>
      </c>
      <c r="D122" s="7">
        <v>26000</v>
      </c>
      <c r="E122" s="8">
        <v>54.4</v>
      </c>
      <c r="F122" s="7"/>
    </row>
    <row r="123" spans="1:6" x14ac:dyDescent="0.2">
      <c r="A123" s="9">
        <v>2021</v>
      </c>
      <c r="B123" s="7">
        <v>35000</v>
      </c>
      <c r="C123" s="8">
        <v>80.3</v>
      </c>
      <c r="D123" s="7">
        <v>26000</v>
      </c>
      <c r="E123" s="8">
        <v>59.3</v>
      </c>
      <c r="F123" s="7"/>
    </row>
    <row r="124" spans="1:6" x14ac:dyDescent="0.2">
      <c r="A124" s="9">
        <v>2022</v>
      </c>
      <c r="B124" s="7">
        <v>32000</v>
      </c>
      <c r="C124" s="8">
        <v>71.8</v>
      </c>
      <c r="D124" s="7">
        <v>22000</v>
      </c>
      <c r="E124" s="8">
        <v>50.6</v>
      </c>
      <c r="F124" s="7"/>
    </row>
    <row r="125" spans="1:6" x14ac:dyDescent="0.2">
      <c r="A125" s="9">
        <v>2023</v>
      </c>
      <c r="B125" s="7">
        <v>34000</v>
      </c>
      <c r="C125" s="8">
        <v>74.099999999999994</v>
      </c>
      <c r="D125" s="7">
        <v>26000</v>
      </c>
      <c r="E125" s="8">
        <v>55.9</v>
      </c>
      <c r="F125" s="7"/>
    </row>
    <row r="126" spans="1:6" x14ac:dyDescent="0.2">
      <c r="A126" s="9"/>
      <c r="B126" s="7"/>
      <c r="C126" s="8"/>
      <c r="D126" s="7"/>
      <c r="E126" s="8"/>
      <c r="F126" s="7"/>
    </row>
    <row r="127" spans="1:6" ht="15.75" x14ac:dyDescent="0.25">
      <c r="A127" s="3" t="s">
        <v>192</v>
      </c>
    </row>
    <row r="128" spans="1:6" ht="31.5" x14ac:dyDescent="0.25">
      <c r="A128" s="5" t="s">
        <v>167</v>
      </c>
      <c r="B128" s="6" t="s">
        <v>168</v>
      </c>
      <c r="C128" s="6" t="s">
        <v>169</v>
      </c>
      <c r="D128" s="6" t="s">
        <v>170</v>
      </c>
      <c r="E128" s="6" t="s">
        <v>171</v>
      </c>
      <c r="F128" s="6" t="s">
        <v>172</v>
      </c>
    </row>
    <row r="129" spans="1:6" x14ac:dyDescent="0.2">
      <c r="A129" s="9">
        <v>2016</v>
      </c>
      <c r="B129" s="7">
        <v>41000</v>
      </c>
      <c r="C129" s="8">
        <v>75.5</v>
      </c>
      <c r="D129" s="7">
        <v>29000</v>
      </c>
      <c r="E129" s="8">
        <v>54.3</v>
      </c>
      <c r="F129" s="7"/>
    </row>
    <row r="130" spans="1:6" x14ac:dyDescent="0.2">
      <c r="A130" s="9">
        <v>2017</v>
      </c>
      <c r="B130" s="7">
        <v>38000</v>
      </c>
      <c r="C130" s="8">
        <v>69.599999999999994</v>
      </c>
      <c r="D130" s="7">
        <v>24000</v>
      </c>
      <c r="E130" s="8">
        <v>43.7</v>
      </c>
      <c r="F130" s="7"/>
    </row>
    <row r="131" spans="1:6" x14ac:dyDescent="0.2">
      <c r="A131" s="9">
        <v>2018</v>
      </c>
      <c r="B131" s="7">
        <v>36000</v>
      </c>
      <c r="C131" s="8">
        <v>69.5</v>
      </c>
      <c r="D131" s="7">
        <v>24000</v>
      </c>
      <c r="E131" s="8">
        <v>46.7</v>
      </c>
      <c r="F131" s="7"/>
    </row>
    <row r="132" spans="1:6" x14ac:dyDescent="0.2">
      <c r="A132" s="9">
        <v>2019</v>
      </c>
      <c r="B132" s="7">
        <v>39000</v>
      </c>
      <c r="C132" s="8">
        <v>75</v>
      </c>
      <c r="D132" s="7">
        <v>27000</v>
      </c>
      <c r="E132" s="8">
        <v>51.5</v>
      </c>
      <c r="F132" s="7"/>
    </row>
    <row r="133" spans="1:6" x14ac:dyDescent="0.2">
      <c r="A133" s="9">
        <v>2020</v>
      </c>
      <c r="B133" s="7">
        <v>41000</v>
      </c>
      <c r="C133" s="8">
        <v>78.3</v>
      </c>
      <c r="D133" s="7">
        <v>29000</v>
      </c>
      <c r="E133" s="8">
        <v>55</v>
      </c>
      <c r="F133" s="7"/>
    </row>
    <row r="134" spans="1:6" x14ac:dyDescent="0.2">
      <c r="A134" s="9">
        <v>2021</v>
      </c>
      <c r="B134" s="7">
        <v>42000</v>
      </c>
      <c r="C134" s="8">
        <v>75.2</v>
      </c>
      <c r="D134" s="7">
        <v>30000</v>
      </c>
      <c r="E134" s="8">
        <v>52.7</v>
      </c>
      <c r="F134" s="7"/>
    </row>
    <row r="135" spans="1:6" x14ac:dyDescent="0.2">
      <c r="A135" s="9">
        <v>2022</v>
      </c>
      <c r="B135" s="7">
        <v>38000</v>
      </c>
      <c r="C135" s="8">
        <v>76.2</v>
      </c>
      <c r="D135" s="7">
        <v>26000</v>
      </c>
      <c r="E135" s="8">
        <v>52.9</v>
      </c>
      <c r="F135" s="7"/>
    </row>
    <row r="136" spans="1:6" x14ac:dyDescent="0.2">
      <c r="A136" s="9">
        <v>2023</v>
      </c>
      <c r="B136" s="7">
        <v>45000</v>
      </c>
      <c r="C136" s="8">
        <v>82.9</v>
      </c>
      <c r="D136" s="7">
        <v>34000</v>
      </c>
      <c r="E136" s="8">
        <v>62.3</v>
      </c>
      <c r="F136" s="7"/>
    </row>
    <row r="137" spans="1:6" x14ac:dyDescent="0.2">
      <c r="A137" s="9"/>
      <c r="B137" s="7"/>
      <c r="C137" s="8"/>
      <c r="D137" s="7"/>
      <c r="E137" s="8"/>
      <c r="F137" s="7"/>
    </row>
  </sheetData>
  <pageMargins left="0.7" right="0.7" top="0.75" bottom="0.75" header="0.3" footer="0.3"/>
  <pageSetup paperSize="9" orientation="portrait" horizontalDpi="300" verticalDpi="300"/>
  <tableParts count="12">
    <tablePart r:id="rId1"/>
    <tablePart r:id="rId2"/>
    <tablePart r:id="rId3"/>
    <tablePart r:id="rId4"/>
    <tablePart r:id="rId5"/>
    <tablePart r:id="rId6"/>
    <tablePart r:id="rId7"/>
    <tablePart r:id="rId8"/>
    <tablePart r:id="rId9"/>
    <tablePart r:id="rId10"/>
    <tablePart r:id="rId11"/>
    <tablePart r:id="rId1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7"/>
  <sheetViews>
    <sheetView workbookViewId="0"/>
  </sheetViews>
  <sheetFormatPr defaultColWidth="10.88671875" defaultRowHeight="15" x14ac:dyDescent="0.2"/>
  <cols>
    <col min="1" max="5" width="18.77734375" customWidth="1"/>
    <col min="6" max="6" width="50.77734375" customWidth="1"/>
  </cols>
  <sheetData>
    <row r="1" spans="1:6" ht="19.5" x14ac:dyDescent="0.3">
      <c r="A1" s="2" t="s">
        <v>193</v>
      </c>
    </row>
    <row r="2" spans="1:6" x14ac:dyDescent="0.2">
      <c r="A2" t="s">
        <v>162</v>
      </c>
    </row>
    <row r="3" spans="1:6" x14ac:dyDescent="0.2">
      <c r="A3" t="s">
        <v>163</v>
      </c>
    </row>
    <row r="4" spans="1:6" x14ac:dyDescent="0.2">
      <c r="A4" t="s">
        <v>164</v>
      </c>
    </row>
    <row r="5" spans="1:6" x14ac:dyDescent="0.2">
      <c r="A5" t="s">
        <v>165</v>
      </c>
    </row>
    <row r="6" spans="1:6" ht="15.75" x14ac:dyDescent="0.25">
      <c r="A6" s="3" t="s">
        <v>194</v>
      </c>
    </row>
    <row r="7" spans="1:6" ht="31.5" x14ac:dyDescent="0.25">
      <c r="A7" s="5" t="s">
        <v>167</v>
      </c>
      <c r="B7" s="6" t="s">
        <v>168</v>
      </c>
      <c r="C7" s="6" t="s">
        <v>169</v>
      </c>
      <c r="D7" s="6" t="s">
        <v>170</v>
      </c>
      <c r="E7" s="6" t="s">
        <v>171</v>
      </c>
      <c r="F7" s="6" t="s">
        <v>172</v>
      </c>
    </row>
    <row r="8" spans="1:6" x14ac:dyDescent="0.2">
      <c r="A8" s="9">
        <v>2016</v>
      </c>
      <c r="B8" s="7">
        <v>423000</v>
      </c>
      <c r="C8" s="8">
        <v>74.7</v>
      </c>
      <c r="D8" s="7">
        <v>286000</v>
      </c>
      <c r="E8" s="8">
        <v>50.4</v>
      </c>
      <c r="F8" s="7"/>
    </row>
    <row r="9" spans="1:6" x14ac:dyDescent="0.2">
      <c r="A9" s="9">
        <v>2017</v>
      </c>
      <c r="B9" s="7">
        <v>415000</v>
      </c>
      <c r="C9" s="8">
        <v>73.599999999999994</v>
      </c>
      <c r="D9" s="7">
        <v>293000</v>
      </c>
      <c r="E9" s="8">
        <v>52</v>
      </c>
      <c r="F9" s="7"/>
    </row>
    <row r="10" spans="1:6" x14ac:dyDescent="0.2">
      <c r="A10" s="9">
        <v>2018</v>
      </c>
      <c r="B10" s="7">
        <v>439000</v>
      </c>
      <c r="C10" s="8">
        <v>77.3</v>
      </c>
      <c r="D10" s="7">
        <v>320000</v>
      </c>
      <c r="E10" s="8">
        <v>56.3</v>
      </c>
      <c r="F10" s="7"/>
    </row>
    <row r="11" spans="1:6" x14ac:dyDescent="0.2">
      <c r="A11" s="9">
        <v>2019</v>
      </c>
      <c r="B11" s="7">
        <v>441000</v>
      </c>
      <c r="C11" s="8">
        <v>77.900000000000006</v>
      </c>
      <c r="D11" s="7">
        <v>329000</v>
      </c>
      <c r="E11" s="8">
        <v>58.1</v>
      </c>
      <c r="F11" s="7"/>
    </row>
    <row r="12" spans="1:6" x14ac:dyDescent="0.2">
      <c r="A12" s="9">
        <v>2020</v>
      </c>
      <c r="B12" s="7">
        <v>443000</v>
      </c>
      <c r="C12" s="8">
        <v>78.099999999999994</v>
      </c>
      <c r="D12" s="7">
        <v>328000</v>
      </c>
      <c r="E12" s="8">
        <v>57.8</v>
      </c>
      <c r="F12" s="7"/>
    </row>
    <row r="13" spans="1:6" x14ac:dyDescent="0.2">
      <c r="A13" s="9">
        <v>2021</v>
      </c>
      <c r="B13" s="7">
        <v>460000</v>
      </c>
      <c r="C13" s="8">
        <v>81.900000000000006</v>
      </c>
      <c r="D13" s="7">
        <v>355000</v>
      </c>
      <c r="E13" s="8">
        <v>63.2</v>
      </c>
      <c r="F13" s="7"/>
    </row>
    <row r="14" spans="1:6" x14ac:dyDescent="0.2">
      <c r="A14" s="9">
        <v>2022</v>
      </c>
      <c r="B14" s="7">
        <v>431000</v>
      </c>
      <c r="C14" s="8">
        <v>77.7</v>
      </c>
      <c r="D14" s="7">
        <v>330000</v>
      </c>
      <c r="E14" s="8">
        <v>59.5</v>
      </c>
      <c r="F14" s="7"/>
    </row>
    <row r="15" spans="1:6" x14ac:dyDescent="0.2">
      <c r="A15" s="9">
        <v>2023</v>
      </c>
      <c r="B15" s="7">
        <v>448000</v>
      </c>
      <c r="C15" s="8">
        <v>79.2</v>
      </c>
      <c r="D15" s="7">
        <v>344000</v>
      </c>
      <c r="E15" s="8">
        <v>60.9</v>
      </c>
      <c r="F15" s="7"/>
    </row>
    <row r="16" spans="1:6" x14ac:dyDescent="0.2">
      <c r="A16" s="9"/>
      <c r="B16" s="7"/>
      <c r="C16" s="8"/>
      <c r="D16" s="7"/>
      <c r="E16" s="8"/>
      <c r="F16" s="7"/>
    </row>
    <row r="17" spans="1:6" ht="15.75" x14ac:dyDescent="0.25">
      <c r="A17" s="3" t="s">
        <v>195</v>
      </c>
    </row>
    <row r="18" spans="1:6" ht="31.5" x14ac:dyDescent="0.25">
      <c r="A18" s="5" t="s">
        <v>167</v>
      </c>
      <c r="B18" s="6" t="s">
        <v>168</v>
      </c>
      <c r="C18" s="6" t="s">
        <v>169</v>
      </c>
      <c r="D18" s="6" t="s">
        <v>170</v>
      </c>
      <c r="E18" s="6" t="s">
        <v>171</v>
      </c>
      <c r="F18" s="6" t="s">
        <v>172</v>
      </c>
    </row>
    <row r="19" spans="1:6" x14ac:dyDescent="0.2">
      <c r="A19" s="9">
        <v>2016</v>
      </c>
      <c r="B19" s="7">
        <v>29000</v>
      </c>
      <c r="C19" s="8">
        <v>74.8</v>
      </c>
      <c r="D19" s="7">
        <v>20000</v>
      </c>
      <c r="E19" s="8">
        <v>50.5</v>
      </c>
      <c r="F19" s="7"/>
    </row>
    <row r="20" spans="1:6" x14ac:dyDescent="0.2">
      <c r="A20" s="9">
        <v>2017</v>
      </c>
      <c r="B20" s="7">
        <v>34000</v>
      </c>
      <c r="C20" s="8">
        <v>82.4</v>
      </c>
      <c r="D20" s="7">
        <v>22000</v>
      </c>
      <c r="E20" s="8">
        <v>53.4</v>
      </c>
      <c r="F20" s="7"/>
    </row>
    <row r="21" spans="1:6" x14ac:dyDescent="0.2">
      <c r="A21" s="9">
        <v>2018</v>
      </c>
      <c r="B21" s="7">
        <v>37000</v>
      </c>
      <c r="C21" s="8">
        <v>84.1</v>
      </c>
      <c r="D21" s="7">
        <v>25000</v>
      </c>
      <c r="E21" s="8">
        <v>57.1</v>
      </c>
      <c r="F21" s="7"/>
    </row>
    <row r="22" spans="1:6" x14ac:dyDescent="0.2">
      <c r="A22" s="9">
        <v>2019</v>
      </c>
      <c r="B22" s="7">
        <v>37000</v>
      </c>
      <c r="C22" s="8">
        <v>86.2</v>
      </c>
      <c r="D22" s="7">
        <v>28000</v>
      </c>
      <c r="E22" s="8">
        <v>64.900000000000006</v>
      </c>
      <c r="F22" s="7"/>
    </row>
    <row r="23" spans="1:6" x14ac:dyDescent="0.2">
      <c r="A23" s="9">
        <v>2020</v>
      </c>
      <c r="B23" s="7">
        <v>35000</v>
      </c>
      <c r="C23" s="8">
        <v>86.4</v>
      </c>
      <c r="D23" s="7">
        <v>24000</v>
      </c>
      <c r="E23" s="8">
        <v>59.9</v>
      </c>
      <c r="F23" s="7"/>
    </row>
    <row r="24" spans="1:6" x14ac:dyDescent="0.2">
      <c r="A24" s="9">
        <v>2021</v>
      </c>
      <c r="B24" s="7">
        <v>39000</v>
      </c>
      <c r="C24" s="8">
        <v>89</v>
      </c>
      <c r="D24" s="7">
        <v>28000</v>
      </c>
      <c r="E24" s="8">
        <v>63.9</v>
      </c>
      <c r="F24" s="7"/>
    </row>
    <row r="25" spans="1:6" x14ac:dyDescent="0.2">
      <c r="A25" s="9">
        <v>2022</v>
      </c>
      <c r="B25" s="7">
        <v>34000</v>
      </c>
      <c r="C25" s="8">
        <v>78.400000000000006</v>
      </c>
      <c r="D25" s="7">
        <v>25000</v>
      </c>
      <c r="E25" s="8">
        <v>58.1</v>
      </c>
      <c r="F25" s="7"/>
    </row>
    <row r="26" spans="1:6" x14ac:dyDescent="0.2">
      <c r="A26" s="9">
        <v>2023</v>
      </c>
      <c r="B26" s="7">
        <v>37000</v>
      </c>
      <c r="C26" s="8">
        <v>86.5</v>
      </c>
      <c r="D26" s="7">
        <v>28000</v>
      </c>
      <c r="E26" s="8">
        <v>64.8</v>
      </c>
      <c r="F26" s="7"/>
    </row>
    <row r="27" spans="1:6" x14ac:dyDescent="0.2">
      <c r="A27" s="9"/>
      <c r="B27" s="7"/>
      <c r="C27" s="8"/>
      <c r="D27" s="7"/>
      <c r="E27" s="8"/>
      <c r="F27" s="7"/>
    </row>
    <row r="28" spans="1:6" ht="15.75" x14ac:dyDescent="0.25">
      <c r="A28" s="3" t="s">
        <v>196</v>
      </c>
    </row>
    <row r="29" spans="1:6" ht="31.5" x14ac:dyDescent="0.25">
      <c r="A29" s="5" t="s">
        <v>167</v>
      </c>
      <c r="B29" s="6" t="s">
        <v>168</v>
      </c>
      <c r="C29" s="6" t="s">
        <v>169</v>
      </c>
      <c r="D29" s="6" t="s">
        <v>170</v>
      </c>
      <c r="E29" s="6" t="s">
        <v>171</v>
      </c>
      <c r="F29" s="6" t="s">
        <v>172</v>
      </c>
    </row>
    <row r="30" spans="1:6" x14ac:dyDescent="0.2">
      <c r="A30" s="9">
        <v>2016</v>
      </c>
      <c r="B30" s="7">
        <v>36000</v>
      </c>
      <c r="C30" s="8">
        <v>75.900000000000006</v>
      </c>
      <c r="D30" s="7">
        <v>26000</v>
      </c>
      <c r="E30" s="8">
        <v>54.2</v>
      </c>
      <c r="F30" s="7"/>
    </row>
    <row r="31" spans="1:6" x14ac:dyDescent="0.2">
      <c r="A31" s="9">
        <v>2017</v>
      </c>
      <c r="B31" s="7">
        <v>38000</v>
      </c>
      <c r="C31" s="8">
        <v>74.599999999999994</v>
      </c>
      <c r="D31" s="7">
        <v>27000</v>
      </c>
      <c r="E31" s="8">
        <v>53.2</v>
      </c>
      <c r="F31" s="7"/>
    </row>
    <row r="32" spans="1:6" x14ac:dyDescent="0.2">
      <c r="A32" s="9">
        <v>2018</v>
      </c>
      <c r="B32" s="7">
        <v>39000</v>
      </c>
      <c r="C32" s="8">
        <v>80.400000000000006</v>
      </c>
      <c r="D32" s="7">
        <v>28000</v>
      </c>
      <c r="E32" s="8">
        <v>57.7</v>
      </c>
      <c r="F32" s="7"/>
    </row>
    <row r="33" spans="1:6" x14ac:dyDescent="0.2">
      <c r="A33" s="9">
        <v>2019</v>
      </c>
      <c r="B33" s="7">
        <v>42000</v>
      </c>
      <c r="C33" s="8">
        <v>85.3</v>
      </c>
      <c r="D33" s="7">
        <v>31000</v>
      </c>
      <c r="E33" s="8">
        <v>62.6</v>
      </c>
      <c r="F33" s="7"/>
    </row>
    <row r="34" spans="1:6" x14ac:dyDescent="0.2">
      <c r="A34" s="9">
        <v>2020</v>
      </c>
      <c r="B34" s="7">
        <v>41000</v>
      </c>
      <c r="C34" s="8">
        <v>85.2</v>
      </c>
      <c r="D34" s="7">
        <v>31000</v>
      </c>
      <c r="E34" s="8">
        <v>64</v>
      </c>
      <c r="F34" s="7"/>
    </row>
    <row r="35" spans="1:6" x14ac:dyDescent="0.2">
      <c r="A35" s="9">
        <v>2021</v>
      </c>
      <c r="B35" s="7">
        <v>42000</v>
      </c>
      <c r="C35" s="8">
        <v>85.1</v>
      </c>
      <c r="D35" s="7">
        <v>31000</v>
      </c>
      <c r="E35" s="8">
        <v>63</v>
      </c>
      <c r="F35" s="7"/>
    </row>
    <row r="36" spans="1:6" x14ac:dyDescent="0.2">
      <c r="A36" s="9">
        <v>2022</v>
      </c>
      <c r="B36" s="7">
        <v>40000</v>
      </c>
      <c r="C36" s="8">
        <v>80.2</v>
      </c>
      <c r="D36" s="7">
        <v>30000</v>
      </c>
      <c r="E36" s="8">
        <v>60.4</v>
      </c>
      <c r="F36" s="7"/>
    </row>
    <row r="37" spans="1:6" x14ac:dyDescent="0.2">
      <c r="A37" s="9">
        <v>2023</v>
      </c>
      <c r="B37" s="7">
        <v>38000</v>
      </c>
      <c r="C37" s="8">
        <v>82.5</v>
      </c>
      <c r="D37" s="7">
        <v>31000</v>
      </c>
      <c r="E37" s="8">
        <v>67.7</v>
      </c>
      <c r="F37" s="7"/>
    </row>
    <row r="38" spans="1:6" x14ac:dyDescent="0.2">
      <c r="A38" s="9"/>
      <c r="B38" s="7"/>
      <c r="C38" s="8"/>
      <c r="D38" s="7"/>
      <c r="E38" s="8"/>
      <c r="F38" s="7"/>
    </row>
    <row r="39" spans="1:6" ht="15.75" x14ac:dyDescent="0.25">
      <c r="A39" s="3" t="s">
        <v>197</v>
      </c>
    </row>
    <row r="40" spans="1:6" ht="31.5" x14ac:dyDescent="0.25">
      <c r="A40" s="5" t="s">
        <v>167</v>
      </c>
      <c r="B40" s="6" t="s">
        <v>168</v>
      </c>
      <c r="C40" s="6" t="s">
        <v>169</v>
      </c>
      <c r="D40" s="6" t="s">
        <v>170</v>
      </c>
      <c r="E40" s="6" t="s">
        <v>171</v>
      </c>
      <c r="F40" s="6" t="s">
        <v>172</v>
      </c>
    </row>
    <row r="41" spans="1:6" x14ac:dyDescent="0.2">
      <c r="A41" s="9">
        <v>2016</v>
      </c>
      <c r="B41" s="7">
        <v>45000</v>
      </c>
      <c r="C41" s="8">
        <v>72.099999999999994</v>
      </c>
      <c r="D41" s="7">
        <v>31000</v>
      </c>
      <c r="E41" s="8">
        <v>49.5</v>
      </c>
      <c r="F41" s="7"/>
    </row>
    <row r="42" spans="1:6" x14ac:dyDescent="0.2">
      <c r="A42" s="9">
        <v>2017</v>
      </c>
      <c r="B42" s="7">
        <v>46000</v>
      </c>
      <c r="C42" s="8">
        <v>76.900000000000006</v>
      </c>
      <c r="D42" s="7">
        <v>33000</v>
      </c>
      <c r="E42" s="8">
        <v>54.4</v>
      </c>
      <c r="F42" s="7"/>
    </row>
    <row r="43" spans="1:6" x14ac:dyDescent="0.2">
      <c r="A43" s="9">
        <v>2018</v>
      </c>
      <c r="B43" s="7">
        <v>53000</v>
      </c>
      <c r="C43" s="8">
        <v>76.8</v>
      </c>
      <c r="D43" s="7">
        <v>37000</v>
      </c>
      <c r="E43" s="8">
        <v>54.4</v>
      </c>
      <c r="F43" s="7"/>
    </row>
    <row r="44" spans="1:6" x14ac:dyDescent="0.2">
      <c r="A44" s="9">
        <v>2019</v>
      </c>
      <c r="B44" s="7">
        <v>49000</v>
      </c>
      <c r="C44" s="8">
        <v>75.900000000000006</v>
      </c>
      <c r="D44" s="7">
        <v>34000</v>
      </c>
      <c r="E44" s="8">
        <v>53.3</v>
      </c>
      <c r="F44" s="7"/>
    </row>
    <row r="45" spans="1:6" x14ac:dyDescent="0.2">
      <c r="A45" s="9">
        <v>2020</v>
      </c>
      <c r="B45" s="7">
        <v>47000</v>
      </c>
      <c r="C45" s="8">
        <v>76.400000000000006</v>
      </c>
      <c r="D45" s="7">
        <v>34000</v>
      </c>
      <c r="E45" s="8">
        <v>55.6</v>
      </c>
      <c r="F45" s="7"/>
    </row>
    <row r="46" spans="1:6" x14ac:dyDescent="0.2">
      <c r="A46" s="9">
        <v>2021</v>
      </c>
      <c r="B46" s="7">
        <v>52000</v>
      </c>
      <c r="C46" s="8">
        <v>81</v>
      </c>
      <c r="D46" s="7">
        <v>40000</v>
      </c>
      <c r="E46" s="8">
        <v>63.5</v>
      </c>
      <c r="F46" s="7"/>
    </row>
    <row r="47" spans="1:6" x14ac:dyDescent="0.2">
      <c r="A47" s="9">
        <v>2022</v>
      </c>
      <c r="B47" s="7">
        <v>52000</v>
      </c>
      <c r="C47" s="8">
        <v>80.7</v>
      </c>
      <c r="D47" s="7">
        <v>39000</v>
      </c>
      <c r="E47" s="8">
        <v>60.4</v>
      </c>
      <c r="F47" s="7"/>
    </row>
    <row r="48" spans="1:6" x14ac:dyDescent="0.2">
      <c r="A48" s="9">
        <v>2023</v>
      </c>
      <c r="B48" s="7">
        <v>59000</v>
      </c>
      <c r="C48" s="8">
        <v>81.099999999999994</v>
      </c>
      <c r="D48" s="7">
        <v>45000</v>
      </c>
      <c r="E48" s="8">
        <v>62.9</v>
      </c>
      <c r="F48" s="7"/>
    </row>
    <row r="49" spans="1:6" x14ac:dyDescent="0.2">
      <c r="A49" s="9"/>
      <c r="B49" s="7"/>
      <c r="C49" s="8"/>
      <c r="D49" s="7"/>
      <c r="E49" s="8"/>
      <c r="F49" s="7"/>
    </row>
    <row r="50" spans="1:6" ht="15.75" x14ac:dyDescent="0.25">
      <c r="A50" s="3" t="s">
        <v>198</v>
      </c>
    </row>
    <row r="51" spans="1:6" ht="31.5" x14ac:dyDescent="0.25">
      <c r="A51" s="5" t="s">
        <v>167</v>
      </c>
      <c r="B51" s="6" t="s">
        <v>168</v>
      </c>
      <c r="C51" s="6" t="s">
        <v>169</v>
      </c>
      <c r="D51" s="6" t="s">
        <v>170</v>
      </c>
      <c r="E51" s="6" t="s">
        <v>171</v>
      </c>
      <c r="F51" s="6" t="s">
        <v>172</v>
      </c>
    </row>
    <row r="52" spans="1:6" x14ac:dyDescent="0.2">
      <c r="A52" s="9">
        <v>2016</v>
      </c>
      <c r="B52" s="7">
        <v>80000</v>
      </c>
      <c r="C52" s="8">
        <v>73</v>
      </c>
      <c r="D52" s="7">
        <v>55000</v>
      </c>
      <c r="E52" s="8">
        <v>50.5</v>
      </c>
      <c r="F52" s="7"/>
    </row>
    <row r="53" spans="1:6" x14ac:dyDescent="0.2">
      <c r="A53" s="9">
        <v>2017</v>
      </c>
      <c r="B53" s="7">
        <v>73000</v>
      </c>
      <c r="C53" s="8">
        <v>66.8</v>
      </c>
      <c r="D53" s="7">
        <v>54000</v>
      </c>
      <c r="E53" s="8">
        <v>49.5</v>
      </c>
      <c r="F53" s="7"/>
    </row>
    <row r="54" spans="1:6" x14ac:dyDescent="0.2">
      <c r="A54" s="9">
        <v>2018</v>
      </c>
      <c r="B54" s="7">
        <v>78000</v>
      </c>
      <c r="C54" s="8">
        <v>73</v>
      </c>
      <c r="D54" s="7">
        <v>59000</v>
      </c>
      <c r="E54" s="8">
        <v>54.7</v>
      </c>
      <c r="F54" s="7"/>
    </row>
    <row r="55" spans="1:6" x14ac:dyDescent="0.2">
      <c r="A55" s="9">
        <v>2019</v>
      </c>
      <c r="B55" s="7">
        <v>74000</v>
      </c>
      <c r="C55" s="8">
        <v>69.7</v>
      </c>
      <c r="D55" s="7">
        <v>55000</v>
      </c>
      <c r="E55" s="8">
        <v>51.5</v>
      </c>
      <c r="F55" s="7"/>
    </row>
    <row r="56" spans="1:6" x14ac:dyDescent="0.2">
      <c r="A56" s="9">
        <v>2020</v>
      </c>
      <c r="B56" s="7">
        <v>76000</v>
      </c>
      <c r="C56" s="8">
        <v>71.400000000000006</v>
      </c>
      <c r="D56" s="7">
        <v>57000</v>
      </c>
      <c r="E56" s="8">
        <v>53.6</v>
      </c>
      <c r="F56" s="7"/>
    </row>
    <row r="57" spans="1:6" x14ac:dyDescent="0.2">
      <c r="A57" s="9">
        <v>2021</v>
      </c>
      <c r="B57" s="7">
        <v>80000</v>
      </c>
      <c r="C57" s="8">
        <v>80.900000000000006</v>
      </c>
      <c r="D57" s="7">
        <v>65000</v>
      </c>
      <c r="E57" s="8">
        <v>65</v>
      </c>
      <c r="F57" s="7"/>
    </row>
    <row r="58" spans="1:6" x14ac:dyDescent="0.2">
      <c r="A58" s="9">
        <v>2022</v>
      </c>
      <c r="B58" s="7">
        <v>77000</v>
      </c>
      <c r="C58" s="8">
        <v>74.599999999999994</v>
      </c>
      <c r="D58" s="7">
        <v>59000</v>
      </c>
      <c r="E58" s="8">
        <v>57.1</v>
      </c>
      <c r="F58" s="7"/>
    </row>
    <row r="59" spans="1:6" x14ac:dyDescent="0.2">
      <c r="A59" s="9">
        <v>2023</v>
      </c>
      <c r="B59" s="7">
        <v>77000</v>
      </c>
      <c r="C59" s="8">
        <v>73.7</v>
      </c>
      <c r="D59" s="7">
        <v>60000</v>
      </c>
      <c r="E59" s="8">
        <v>57.3</v>
      </c>
      <c r="F59" s="7"/>
    </row>
    <row r="60" spans="1:6" x14ac:dyDescent="0.2">
      <c r="A60" s="9"/>
      <c r="B60" s="7"/>
      <c r="C60" s="8"/>
      <c r="D60" s="7"/>
      <c r="E60" s="8"/>
      <c r="F60" s="7"/>
    </row>
    <row r="61" spans="1:6" ht="15.75" x14ac:dyDescent="0.25">
      <c r="A61" s="3" t="s">
        <v>199</v>
      </c>
    </row>
    <row r="62" spans="1:6" ht="31.5" x14ac:dyDescent="0.25">
      <c r="A62" s="5" t="s">
        <v>167</v>
      </c>
      <c r="B62" s="6" t="s">
        <v>168</v>
      </c>
      <c r="C62" s="6" t="s">
        <v>169</v>
      </c>
      <c r="D62" s="6" t="s">
        <v>170</v>
      </c>
      <c r="E62" s="6" t="s">
        <v>171</v>
      </c>
      <c r="F62" s="6" t="s">
        <v>172</v>
      </c>
    </row>
    <row r="63" spans="1:6" x14ac:dyDescent="0.2">
      <c r="A63" s="9">
        <v>2016</v>
      </c>
      <c r="B63" s="7">
        <v>33000</v>
      </c>
      <c r="C63" s="8">
        <v>74.3</v>
      </c>
      <c r="D63" s="7">
        <v>17000</v>
      </c>
      <c r="E63" s="8">
        <v>39.6</v>
      </c>
      <c r="F63" s="7"/>
    </row>
    <row r="64" spans="1:6" x14ac:dyDescent="0.2">
      <c r="A64" s="9">
        <v>2017</v>
      </c>
      <c r="B64" s="7">
        <v>32000</v>
      </c>
      <c r="C64" s="8">
        <v>78.400000000000006</v>
      </c>
      <c r="D64" s="7">
        <v>19000</v>
      </c>
      <c r="E64" s="8">
        <v>46.6</v>
      </c>
      <c r="F64" s="7"/>
    </row>
    <row r="65" spans="1:6" x14ac:dyDescent="0.2">
      <c r="A65" s="9">
        <v>2018</v>
      </c>
      <c r="B65" s="7">
        <v>32000</v>
      </c>
      <c r="C65" s="8">
        <v>73.2</v>
      </c>
      <c r="D65" s="7">
        <v>24000</v>
      </c>
      <c r="E65" s="8">
        <v>55.9</v>
      </c>
      <c r="F65" s="7"/>
    </row>
    <row r="66" spans="1:6" x14ac:dyDescent="0.2">
      <c r="A66" s="9">
        <v>2019</v>
      </c>
      <c r="B66" s="7">
        <v>32000</v>
      </c>
      <c r="C66" s="8">
        <v>73.400000000000006</v>
      </c>
      <c r="D66" s="7">
        <v>25000</v>
      </c>
      <c r="E66" s="8">
        <v>55.9</v>
      </c>
      <c r="F66" s="7"/>
    </row>
    <row r="67" spans="1:6" x14ac:dyDescent="0.2">
      <c r="A67" s="9">
        <v>2020</v>
      </c>
      <c r="B67" s="7">
        <v>33000</v>
      </c>
      <c r="C67" s="8">
        <v>73.2</v>
      </c>
      <c r="D67" s="7">
        <v>25000</v>
      </c>
      <c r="E67" s="8">
        <v>55.4</v>
      </c>
      <c r="F67" s="7"/>
    </row>
    <row r="68" spans="1:6" x14ac:dyDescent="0.2">
      <c r="A68" s="9">
        <v>2021</v>
      </c>
      <c r="B68" s="7">
        <v>35000</v>
      </c>
      <c r="C68" s="8">
        <v>82.1</v>
      </c>
      <c r="D68" s="7">
        <v>26000</v>
      </c>
      <c r="E68" s="8">
        <v>60.6</v>
      </c>
      <c r="F68" s="7"/>
    </row>
    <row r="69" spans="1:6" x14ac:dyDescent="0.2">
      <c r="A69" s="9">
        <v>2022</v>
      </c>
      <c r="B69" s="7">
        <v>27000</v>
      </c>
      <c r="C69" s="8">
        <v>71.8</v>
      </c>
      <c r="D69" s="7">
        <v>20000</v>
      </c>
      <c r="E69" s="8">
        <v>52</v>
      </c>
      <c r="F69" s="7"/>
    </row>
    <row r="70" spans="1:6" x14ac:dyDescent="0.2">
      <c r="A70" s="9">
        <v>2023</v>
      </c>
      <c r="B70" s="7">
        <v>31000</v>
      </c>
      <c r="C70" s="8">
        <v>76.400000000000006</v>
      </c>
      <c r="D70" s="7">
        <v>22000</v>
      </c>
      <c r="E70" s="8">
        <v>54.7</v>
      </c>
      <c r="F70" s="7"/>
    </row>
    <row r="71" spans="1:6" x14ac:dyDescent="0.2">
      <c r="A71" s="9"/>
      <c r="B71" s="7"/>
      <c r="C71" s="8"/>
      <c r="D71" s="7"/>
      <c r="E71" s="8"/>
      <c r="F71" s="7"/>
    </row>
    <row r="72" spans="1:6" ht="15.75" x14ac:dyDescent="0.25">
      <c r="A72" s="3" t="s">
        <v>200</v>
      </c>
    </row>
    <row r="73" spans="1:6" ht="31.5" x14ac:dyDescent="0.25">
      <c r="A73" s="5" t="s">
        <v>167</v>
      </c>
      <c r="B73" s="6" t="s">
        <v>168</v>
      </c>
      <c r="C73" s="6" t="s">
        <v>169</v>
      </c>
      <c r="D73" s="6" t="s">
        <v>170</v>
      </c>
      <c r="E73" s="6" t="s">
        <v>171</v>
      </c>
      <c r="F73" s="6" t="s">
        <v>172</v>
      </c>
    </row>
    <row r="74" spans="1:6" x14ac:dyDescent="0.2">
      <c r="A74" s="9">
        <v>2016</v>
      </c>
      <c r="B74" s="7">
        <v>33000</v>
      </c>
      <c r="C74" s="8">
        <v>66.7</v>
      </c>
      <c r="D74" s="7">
        <v>23000</v>
      </c>
      <c r="E74" s="8">
        <v>47.3</v>
      </c>
      <c r="F74" s="7"/>
    </row>
    <row r="75" spans="1:6" x14ac:dyDescent="0.2">
      <c r="A75" s="9">
        <v>2017</v>
      </c>
      <c r="B75" s="7">
        <v>32000</v>
      </c>
      <c r="C75" s="8">
        <v>71.2</v>
      </c>
      <c r="D75" s="7">
        <v>22000</v>
      </c>
      <c r="E75" s="8">
        <v>47.9</v>
      </c>
      <c r="F75" s="7"/>
    </row>
    <row r="76" spans="1:6" x14ac:dyDescent="0.2">
      <c r="A76" s="9">
        <v>2018</v>
      </c>
      <c r="B76" s="7">
        <v>34000</v>
      </c>
      <c r="C76" s="8">
        <v>75.5</v>
      </c>
      <c r="D76" s="7">
        <v>24000</v>
      </c>
      <c r="E76" s="8">
        <v>53</v>
      </c>
      <c r="F76" s="7"/>
    </row>
    <row r="77" spans="1:6" x14ac:dyDescent="0.2">
      <c r="A77" s="9">
        <v>2019</v>
      </c>
      <c r="B77" s="7">
        <v>34000</v>
      </c>
      <c r="C77" s="8">
        <v>75.8</v>
      </c>
      <c r="D77" s="7">
        <v>25000</v>
      </c>
      <c r="E77" s="8">
        <v>54.8</v>
      </c>
      <c r="F77" s="7"/>
    </row>
    <row r="78" spans="1:6" x14ac:dyDescent="0.2">
      <c r="A78" s="9">
        <v>2020</v>
      </c>
      <c r="B78" s="7">
        <v>32000</v>
      </c>
      <c r="C78" s="8">
        <v>70.8</v>
      </c>
      <c r="D78" s="7">
        <v>23000</v>
      </c>
      <c r="E78" s="8">
        <v>49.7</v>
      </c>
      <c r="F78" s="7"/>
    </row>
    <row r="79" spans="1:6" x14ac:dyDescent="0.2">
      <c r="A79" s="9">
        <v>2021</v>
      </c>
      <c r="B79" s="7">
        <v>35000</v>
      </c>
      <c r="C79" s="8">
        <v>78.7</v>
      </c>
      <c r="D79" s="7">
        <v>26000</v>
      </c>
      <c r="E79" s="8">
        <v>58.1</v>
      </c>
      <c r="F79" s="7"/>
    </row>
    <row r="80" spans="1:6" x14ac:dyDescent="0.2">
      <c r="A80" s="9">
        <v>2022</v>
      </c>
      <c r="B80" s="7">
        <v>34000</v>
      </c>
      <c r="C80" s="8">
        <v>78.400000000000006</v>
      </c>
      <c r="D80" s="7">
        <v>26000</v>
      </c>
      <c r="E80" s="8">
        <v>60.1</v>
      </c>
      <c r="F80" s="7"/>
    </row>
    <row r="81" spans="1:6" x14ac:dyDescent="0.2">
      <c r="A81" s="9">
        <v>2023</v>
      </c>
      <c r="B81" s="7">
        <v>34000</v>
      </c>
      <c r="C81" s="8">
        <v>76.2</v>
      </c>
      <c r="D81" s="7">
        <v>25000</v>
      </c>
      <c r="E81" s="8">
        <v>57</v>
      </c>
      <c r="F81" s="7"/>
    </row>
    <row r="82" spans="1:6" x14ac:dyDescent="0.2">
      <c r="A82" s="9"/>
      <c r="B82" s="7"/>
      <c r="C82" s="8"/>
      <c r="D82" s="7"/>
      <c r="E82" s="8"/>
      <c r="F82" s="7"/>
    </row>
    <row r="83" spans="1:6" ht="15.75" x14ac:dyDescent="0.25">
      <c r="A83" s="3" t="s">
        <v>201</v>
      </c>
    </row>
    <row r="84" spans="1:6" ht="31.5" x14ac:dyDescent="0.25">
      <c r="A84" s="5" t="s">
        <v>167</v>
      </c>
      <c r="B84" s="6" t="s">
        <v>168</v>
      </c>
      <c r="C84" s="6" t="s">
        <v>169</v>
      </c>
      <c r="D84" s="6" t="s">
        <v>170</v>
      </c>
      <c r="E84" s="6" t="s">
        <v>171</v>
      </c>
      <c r="F84" s="6" t="s">
        <v>172</v>
      </c>
    </row>
    <row r="85" spans="1:6" x14ac:dyDescent="0.2">
      <c r="A85" s="9">
        <v>2016</v>
      </c>
      <c r="B85" s="7">
        <v>27000</v>
      </c>
      <c r="C85" s="8">
        <v>77.8</v>
      </c>
      <c r="D85" s="7">
        <v>17000</v>
      </c>
      <c r="E85" s="8">
        <v>49.8</v>
      </c>
      <c r="F85" s="7"/>
    </row>
    <row r="86" spans="1:6" x14ac:dyDescent="0.2">
      <c r="A86" s="9">
        <v>2017</v>
      </c>
      <c r="B86" s="7">
        <v>27000</v>
      </c>
      <c r="C86" s="8">
        <v>82.7</v>
      </c>
      <c r="D86" s="7">
        <v>20000</v>
      </c>
      <c r="E86" s="8">
        <v>61</v>
      </c>
      <c r="F86" s="7"/>
    </row>
    <row r="87" spans="1:6" x14ac:dyDescent="0.2">
      <c r="A87" s="9">
        <v>2018</v>
      </c>
      <c r="B87" s="7">
        <v>28000</v>
      </c>
      <c r="C87" s="8">
        <v>82.4</v>
      </c>
      <c r="D87" s="7">
        <v>20000</v>
      </c>
      <c r="E87" s="8">
        <v>57.5</v>
      </c>
      <c r="F87" s="7"/>
    </row>
    <row r="88" spans="1:6" x14ac:dyDescent="0.2">
      <c r="A88" s="9">
        <v>2019</v>
      </c>
      <c r="B88" s="7">
        <v>24000</v>
      </c>
      <c r="C88" s="8">
        <v>76.8</v>
      </c>
      <c r="D88" s="7">
        <v>18000</v>
      </c>
      <c r="E88" s="8">
        <v>57.3</v>
      </c>
      <c r="F88" s="7"/>
    </row>
    <row r="89" spans="1:6" x14ac:dyDescent="0.2">
      <c r="A89" s="9">
        <v>2020</v>
      </c>
      <c r="B89" s="7">
        <v>27000</v>
      </c>
      <c r="C89" s="8">
        <v>81.8</v>
      </c>
      <c r="D89" s="7">
        <v>20000</v>
      </c>
      <c r="E89" s="8">
        <v>61.3</v>
      </c>
      <c r="F89" s="7"/>
    </row>
    <row r="90" spans="1:6" x14ac:dyDescent="0.2">
      <c r="A90" s="9">
        <v>2021</v>
      </c>
      <c r="B90" s="7">
        <v>26000</v>
      </c>
      <c r="C90" s="8">
        <v>84.9</v>
      </c>
      <c r="D90" s="7">
        <v>21000</v>
      </c>
      <c r="E90" s="8">
        <v>68.2</v>
      </c>
      <c r="F90" s="7"/>
    </row>
    <row r="91" spans="1:6" x14ac:dyDescent="0.2">
      <c r="A91" s="9">
        <v>2022</v>
      </c>
      <c r="B91" s="7">
        <v>22000</v>
      </c>
      <c r="C91" s="8">
        <v>76.3</v>
      </c>
      <c r="D91" s="7">
        <v>16000</v>
      </c>
      <c r="E91" s="8">
        <v>55.6</v>
      </c>
      <c r="F91" s="7"/>
    </row>
    <row r="92" spans="1:6" x14ac:dyDescent="0.2">
      <c r="A92" s="9">
        <v>2023</v>
      </c>
      <c r="B92" s="7">
        <v>26000</v>
      </c>
      <c r="C92" s="8">
        <v>81.7</v>
      </c>
      <c r="D92" s="7">
        <v>20000</v>
      </c>
      <c r="E92" s="8">
        <v>64.400000000000006</v>
      </c>
      <c r="F92" s="7"/>
    </row>
    <row r="93" spans="1:6" x14ac:dyDescent="0.2">
      <c r="A93" s="9"/>
      <c r="B93" s="7"/>
      <c r="C93" s="8"/>
      <c r="D93" s="7"/>
      <c r="E93" s="8"/>
      <c r="F93" s="7"/>
    </row>
    <row r="94" spans="1:6" ht="15.75" x14ac:dyDescent="0.25">
      <c r="A94" s="3" t="s">
        <v>202</v>
      </c>
    </row>
    <row r="95" spans="1:6" ht="31.5" x14ac:dyDescent="0.25">
      <c r="A95" s="5" t="s">
        <v>167</v>
      </c>
      <c r="B95" s="6" t="s">
        <v>168</v>
      </c>
      <c r="C95" s="6" t="s">
        <v>169</v>
      </c>
      <c r="D95" s="6" t="s">
        <v>170</v>
      </c>
      <c r="E95" s="6" t="s">
        <v>171</v>
      </c>
      <c r="F95" s="6" t="s">
        <v>172</v>
      </c>
    </row>
    <row r="96" spans="1:6" x14ac:dyDescent="0.2">
      <c r="A96" s="9">
        <v>2016</v>
      </c>
      <c r="B96" s="7">
        <v>35000</v>
      </c>
      <c r="C96" s="8">
        <v>80.3</v>
      </c>
      <c r="D96" s="7">
        <v>24000</v>
      </c>
      <c r="E96" s="8">
        <v>55.4</v>
      </c>
      <c r="F96" s="7"/>
    </row>
    <row r="97" spans="1:6" x14ac:dyDescent="0.2">
      <c r="A97" s="9">
        <v>2017</v>
      </c>
      <c r="B97" s="7">
        <v>34000</v>
      </c>
      <c r="C97" s="8">
        <v>80.400000000000006</v>
      </c>
      <c r="D97" s="7">
        <v>24000</v>
      </c>
      <c r="E97" s="8">
        <v>55.2</v>
      </c>
      <c r="F97" s="7"/>
    </row>
    <row r="98" spans="1:6" x14ac:dyDescent="0.2">
      <c r="A98" s="9">
        <v>2018</v>
      </c>
      <c r="B98" s="7">
        <v>34000</v>
      </c>
      <c r="C98" s="8">
        <v>87.7</v>
      </c>
      <c r="D98" s="7">
        <v>26000</v>
      </c>
      <c r="E98" s="8">
        <v>67.8</v>
      </c>
      <c r="F98" s="7"/>
    </row>
    <row r="99" spans="1:6" x14ac:dyDescent="0.2">
      <c r="A99" s="9">
        <v>2019</v>
      </c>
      <c r="B99" s="7">
        <v>40000</v>
      </c>
      <c r="C99" s="8">
        <v>89.2</v>
      </c>
      <c r="D99" s="7">
        <v>33000</v>
      </c>
      <c r="E99" s="8">
        <v>74</v>
      </c>
      <c r="F99" s="7"/>
    </row>
    <row r="100" spans="1:6" x14ac:dyDescent="0.2">
      <c r="A100" s="9">
        <v>2020</v>
      </c>
      <c r="B100" s="7">
        <v>37000</v>
      </c>
      <c r="C100" s="8">
        <v>83.9</v>
      </c>
      <c r="D100" s="7">
        <v>31000</v>
      </c>
      <c r="E100" s="8">
        <v>70.7</v>
      </c>
      <c r="F100" s="7"/>
    </row>
    <row r="101" spans="1:6" x14ac:dyDescent="0.2">
      <c r="A101" s="9">
        <v>2021</v>
      </c>
      <c r="B101" s="7">
        <v>40000</v>
      </c>
      <c r="C101" s="8">
        <v>84.3</v>
      </c>
      <c r="D101" s="7">
        <v>33000</v>
      </c>
      <c r="E101" s="8">
        <v>69.5</v>
      </c>
      <c r="F101" s="7"/>
    </row>
    <row r="102" spans="1:6" x14ac:dyDescent="0.2">
      <c r="A102" s="9">
        <v>2022</v>
      </c>
      <c r="B102" s="7">
        <v>37000</v>
      </c>
      <c r="C102" s="8">
        <v>78.8</v>
      </c>
      <c r="D102" s="7">
        <v>30000</v>
      </c>
      <c r="E102" s="8">
        <v>63.6</v>
      </c>
      <c r="F102" s="7"/>
    </row>
    <row r="103" spans="1:6" x14ac:dyDescent="0.2">
      <c r="A103" s="9">
        <v>2023</v>
      </c>
      <c r="B103" s="7">
        <v>36000</v>
      </c>
      <c r="C103" s="8">
        <v>78.599999999999994</v>
      </c>
      <c r="D103" s="7">
        <v>29000</v>
      </c>
      <c r="E103" s="8">
        <v>62.6</v>
      </c>
      <c r="F103" s="7"/>
    </row>
    <row r="104" spans="1:6" x14ac:dyDescent="0.2">
      <c r="A104" s="9"/>
      <c r="B104" s="7"/>
      <c r="C104" s="8"/>
      <c r="D104" s="7"/>
      <c r="E104" s="8"/>
      <c r="F104" s="7"/>
    </row>
    <row r="105" spans="1:6" ht="15.75" x14ac:dyDescent="0.25">
      <c r="A105" s="3" t="s">
        <v>279</v>
      </c>
    </row>
    <row r="106" spans="1:6" ht="31.5" x14ac:dyDescent="0.25">
      <c r="A106" s="5" t="s">
        <v>167</v>
      </c>
      <c r="B106" s="6" t="s">
        <v>168</v>
      </c>
      <c r="C106" s="6" t="s">
        <v>169</v>
      </c>
      <c r="D106" s="6" t="s">
        <v>170</v>
      </c>
      <c r="E106" s="6" t="s">
        <v>171</v>
      </c>
      <c r="F106" s="6" t="s">
        <v>172</v>
      </c>
    </row>
    <row r="107" spans="1:6" x14ac:dyDescent="0.2">
      <c r="A107" s="9">
        <v>2016</v>
      </c>
      <c r="B107" s="7">
        <v>34000</v>
      </c>
      <c r="C107" s="8">
        <v>80.8</v>
      </c>
      <c r="D107" s="7">
        <v>24000</v>
      </c>
      <c r="E107" s="8">
        <v>57.1</v>
      </c>
      <c r="F107" s="7"/>
    </row>
    <row r="108" spans="1:6" x14ac:dyDescent="0.2">
      <c r="A108" s="9">
        <v>2017</v>
      </c>
      <c r="B108" s="7">
        <v>29000</v>
      </c>
      <c r="C108" s="8">
        <v>71.2</v>
      </c>
      <c r="D108" s="7">
        <v>24000</v>
      </c>
      <c r="E108" s="8">
        <v>57.3</v>
      </c>
      <c r="F108" s="7"/>
    </row>
    <row r="109" spans="1:6" x14ac:dyDescent="0.2">
      <c r="A109" s="9">
        <v>2018</v>
      </c>
      <c r="B109" s="7">
        <v>29000</v>
      </c>
      <c r="C109" s="8">
        <v>74.900000000000006</v>
      </c>
      <c r="D109" s="7">
        <v>22000</v>
      </c>
      <c r="E109" s="8">
        <v>56.8</v>
      </c>
      <c r="F109" s="7"/>
    </row>
    <row r="110" spans="1:6" x14ac:dyDescent="0.2">
      <c r="A110" s="9">
        <v>2019</v>
      </c>
      <c r="B110" s="7">
        <v>33000</v>
      </c>
      <c r="C110" s="8">
        <v>81.099999999999994</v>
      </c>
      <c r="D110" s="7">
        <v>25000</v>
      </c>
      <c r="E110" s="8">
        <v>61.6</v>
      </c>
      <c r="F110" s="7"/>
    </row>
    <row r="111" spans="1:6" x14ac:dyDescent="0.2">
      <c r="A111" s="9">
        <v>2020</v>
      </c>
      <c r="B111" s="7">
        <v>34000</v>
      </c>
      <c r="C111" s="8">
        <v>82.5</v>
      </c>
      <c r="D111" s="7">
        <v>25000</v>
      </c>
      <c r="E111" s="8">
        <v>61</v>
      </c>
      <c r="F111" s="7"/>
    </row>
    <row r="112" spans="1:6" x14ac:dyDescent="0.2">
      <c r="A112" s="9">
        <v>2021</v>
      </c>
      <c r="B112" s="7">
        <v>33000</v>
      </c>
      <c r="C112" s="8">
        <v>75.400000000000006</v>
      </c>
      <c r="D112" s="7">
        <v>25000</v>
      </c>
      <c r="E112" s="8">
        <v>56.9</v>
      </c>
      <c r="F112" s="7"/>
    </row>
    <row r="113" spans="1:6" x14ac:dyDescent="0.2">
      <c r="A113" s="9">
        <v>2022</v>
      </c>
      <c r="B113" s="7">
        <v>33000</v>
      </c>
      <c r="C113" s="8">
        <v>80</v>
      </c>
      <c r="D113" s="7">
        <v>25000</v>
      </c>
      <c r="E113" s="8">
        <v>60.5</v>
      </c>
      <c r="F113" s="7"/>
    </row>
    <row r="114" spans="1:6" x14ac:dyDescent="0.2">
      <c r="A114" s="9">
        <v>2023</v>
      </c>
      <c r="B114" s="7">
        <v>34000</v>
      </c>
      <c r="C114" s="8">
        <v>83.2</v>
      </c>
      <c r="D114" s="7">
        <v>25000</v>
      </c>
      <c r="E114" s="8">
        <v>60.8</v>
      </c>
      <c r="F114" s="7"/>
    </row>
    <row r="115" spans="1:6" x14ac:dyDescent="0.2">
      <c r="A115" s="9"/>
      <c r="B115" s="7"/>
      <c r="C115" s="8"/>
      <c r="D115" s="7"/>
      <c r="E115" s="8"/>
      <c r="F115" s="7"/>
    </row>
    <row r="116" spans="1:6" ht="15.75" x14ac:dyDescent="0.25">
      <c r="A116" s="3" t="s">
        <v>288</v>
      </c>
    </row>
    <row r="117" spans="1:6" ht="31.5" x14ac:dyDescent="0.25">
      <c r="A117" s="5" t="s">
        <v>167</v>
      </c>
      <c r="B117" s="6" t="s">
        <v>168</v>
      </c>
      <c r="C117" s="6" t="s">
        <v>169</v>
      </c>
      <c r="D117" s="6" t="s">
        <v>170</v>
      </c>
      <c r="E117" s="6" t="s">
        <v>171</v>
      </c>
      <c r="F117" s="6" t="s">
        <v>172</v>
      </c>
    </row>
    <row r="118" spans="1:6" x14ac:dyDescent="0.2">
      <c r="A118" s="9">
        <v>2016</v>
      </c>
      <c r="B118" s="7">
        <v>32000</v>
      </c>
      <c r="C118" s="8">
        <v>75.3</v>
      </c>
      <c r="D118" s="7">
        <v>19000</v>
      </c>
      <c r="E118" s="8">
        <v>45.2</v>
      </c>
      <c r="F118" s="7"/>
    </row>
    <row r="119" spans="1:6" x14ac:dyDescent="0.2">
      <c r="A119" s="9">
        <v>2017</v>
      </c>
      <c r="B119" s="7">
        <v>31000</v>
      </c>
      <c r="C119" s="8">
        <v>71.599999999999994</v>
      </c>
      <c r="D119" s="7">
        <v>22000</v>
      </c>
      <c r="E119" s="8">
        <v>51.4</v>
      </c>
      <c r="F119" s="7"/>
    </row>
    <row r="120" spans="1:6" x14ac:dyDescent="0.2">
      <c r="A120" s="9">
        <v>2018</v>
      </c>
      <c r="B120" s="7">
        <v>34000</v>
      </c>
      <c r="C120" s="8">
        <v>75.5</v>
      </c>
      <c r="D120" s="7">
        <v>25000</v>
      </c>
      <c r="E120" s="8">
        <v>56.2</v>
      </c>
      <c r="F120" s="7"/>
    </row>
    <row r="121" spans="1:6" x14ac:dyDescent="0.2">
      <c r="A121" s="9">
        <v>2019</v>
      </c>
      <c r="B121" s="7">
        <v>31000</v>
      </c>
      <c r="C121" s="8">
        <v>74.8</v>
      </c>
      <c r="D121" s="7">
        <v>23000</v>
      </c>
      <c r="E121" s="8">
        <v>54.6</v>
      </c>
      <c r="F121" s="7"/>
    </row>
    <row r="122" spans="1:6" x14ac:dyDescent="0.2">
      <c r="A122" s="9">
        <v>2020</v>
      </c>
      <c r="B122" s="7">
        <v>33000</v>
      </c>
      <c r="C122" s="8">
        <v>76.099999999999994</v>
      </c>
      <c r="D122" s="7">
        <v>22000</v>
      </c>
      <c r="E122" s="8">
        <v>50.6</v>
      </c>
      <c r="F122" s="7"/>
    </row>
    <row r="123" spans="1:6" x14ac:dyDescent="0.2">
      <c r="A123" s="9">
        <v>2021</v>
      </c>
      <c r="B123" s="7">
        <v>36000</v>
      </c>
      <c r="C123" s="8">
        <v>80.7</v>
      </c>
      <c r="D123" s="7">
        <v>28000</v>
      </c>
      <c r="E123" s="8">
        <v>62.5</v>
      </c>
      <c r="F123" s="7"/>
    </row>
    <row r="124" spans="1:6" x14ac:dyDescent="0.2">
      <c r="A124" s="9">
        <v>2022</v>
      </c>
      <c r="B124" s="7">
        <v>35000</v>
      </c>
      <c r="C124" s="8">
        <v>80.900000000000006</v>
      </c>
      <c r="D124" s="7">
        <v>29000</v>
      </c>
      <c r="E124" s="8">
        <v>67.2</v>
      </c>
      <c r="F124" s="7"/>
    </row>
    <row r="125" spans="1:6" x14ac:dyDescent="0.2">
      <c r="A125" s="9">
        <v>2023</v>
      </c>
      <c r="B125" s="7">
        <v>33000</v>
      </c>
      <c r="C125" s="8">
        <v>77.599999999999994</v>
      </c>
      <c r="D125" s="7">
        <v>24000</v>
      </c>
      <c r="E125" s="8">
        <v>56.2</v>
      </c>
      <c r="F125" s="7"/>
    </row>
    <row r="126" spans="1:6" x14ac:dyDescent="0.2">
      <c r="A126" s="9"/>
      <c r="B126" s="7"/>
      <c r="C126" s="8"/>
      <c r="D126" s="7"/>
      <c r="E126" s="8"/>
      <c r="F126" s="7"/>
    </row>
    <row r="127" spans="1:6" ht="15.75" x14ac:dyDescent="0.25">
      <c r="A127" s="3" t="s">
        <v>203</v>
      </c>
    </row>
    <row r="128" spans="1:6" ht="31.5" x14ac:dyDescent="0.25">
      <c r="A128" s="5" t="s">
        <v>167</v>
      </c>
      <c r="B128" s="6" t="s">
        <v>168</v>
      </c>
      <c r="C128" s="6" t="s">
        <v>169</v>
      </c>
      <c r="D128" s="6" t="s">
        <v>170</v>
      </c>
      <c r="E128" s="6" t="s">
        <v>171</v>
      </c>
      <c r="F128" s="6" t="s">
        <v>172</v>
      </c>
    </row>
    <row r="129" spans="1:6" x14ac:dyDescent="0.2">
      <c r="A129" s="9">
        <v>2016</v>
      </c>
      <c r="B129" s="7">
        <v>40000</v>
      </c>
      <c r="C129" s="8">
        <v>75.7</v>
      </c>
      <c r="D129" s="7">
        <v>29000</v>
      </c>
      <c r="E129" s="8">
        <v>55</v>
      </c>
      <c r="F129" s="7"/>
    </row>
    <row r="130" spans="1:6" x14ac:dyDescent="0.2">
      <c r="A130" s="9">
        <v>2017</v>
      </c>
      <c r="B130" s="7">
        <v>39000</v>
      </c>
      <c r="C130" s="8">
        <v>67.400000000000006</v>
      </c>
      <c r="D130" s="7">
        <v>28000</v>
      </c>
      <c r="E130" s="8">
        <v>48.5</v>
      </c>
      <c r="F130" s="7"/>
    </row>
    <row r="131" spans="1:6" x14ac:dyDescent="0.2">
      <c r="A131" s="9">
        <v>2018</v>
      </c>
      <c r="B131" s="7">
        <v>40000</v>
      </c>
      <c r="C131" s="8">
        <v>75.099999999999994</v>
      </c>
      <c r="D131" s="7">
        <v>29000</v>
      </c>
      <c r="E131" s="8">
        <v>53.7</v>
      </c>
      <c r="F131" s="7"/>
    </row>
    <row r="132" spans="1:6" x14ac:dyDescent="0.2">
      <c r="A132" s="9">
        <v>2019</v>
      </c>
      <c r="B132" s="7">
        <v>44000</v>
      </c>
      <c r="C132" s="8">
        <v>80.400000000000006</v>
      </c>
      <c r="D132" s="7">
        <v>32000</v>
      </c>
      <c r="E132" s="8">
        <v>59</v>
      </c>
      <c r="F132" s="7"/>
    </row>
    <row r="133" spans="1:6" x14ac:dyDescent="0.2">
      <c r="A133" s="9">
        <v>2020</v>
      </c>
      <c r="B133" s="7">
        <v>46000</v>
      </c>
      <c r="C133" s="8">
        <v>82.4</v>
      </c>
      <c r="D133" s="7">
        <v>34000</v>
      </c>
      <c r="E133" s="8">
        <v>61</v>
      </c>
      <c r="F133" s="7"/>
    </row>
    <row r="134" spans="1:6" x14ac:dyDescent="0.2">
      <c r="A134" s="9">
        <v>2021</v>
      </c>
      <c r="B134" s="7">
        <v>42000</v>
      </c>
      <c r="C134" s="8">
        <v>80.400000000000006</v>
      </c>
      <c r="D134" s="7">
        <v>32000</v>
      </c>
      <c r="E134" s="8">
        <v>62.4</v>
      </c>
      <c r="F134" s="7"/>
    </row>
    <row r="135" spans="1:6" x14ac:dyDescent="0.2">
      <c r="A135" s="9">
        <v>2022</v>
      </c>
      <c r="B135" s="7">
        <v>39000</v>
      </c>
      <c r="C135" s="8">
        <v>75.900000000000006</v>
      </c>
      <c r="D135" s="7">
        <v>30000</v>
      </c>
      <c r="E135" s="8">
        <v>59.2</v>
      </c>
      <c r="F135" s="7"/>
    </row>
    <row r="136" spans="1:6" x14ac:dyDescent="0.2">
      <c r="A136" s="9">
        <v>2023</v>
      </c>
      <c r="B136" s="7">
        <v>43000</v>
      </c>
      <c r="C136" s="8">
        <v>81.2</v>
      </c>
      <c r="D136" s="7">
        <v>34000</v>
      </c>
      <c r="E136" s="8">
        <v>64.5</v>
      </c>
      <c r="F136" s="7"/>
    </row>
    <row r="137" spans="1:6" x14ac:dyDescent="0.2">
      <c r="A137" s="9"/>
      <c r="B137" s="7"/>
      <c r="C137" s="8"/>
      <c r="D137" s="7"/>
      <c r="E137" s="8"/>
      <c r="F137" s="7"/>
    </row>
  </sheetData>
  <pageMargins left="0.7" right="0.7" top="0.75" bottom="0.75" header="0.3" footer="0.3"/>
  <pageSetup paperSize="9" orientation="portrait" horizontalDpi="300" verticalDpi="300"/>
  <tableParts count="12">
    <tablePart r:id="rId1"/>
    <tablePart r:id="rId2"/>
    <tablePart r:id="rId3"/>
    <tablePart r:id="rId4"/>
    <tablePart r:id="rId5"/>
    <tablePart r:id="rId6"/>
    <tablePart r:id="rId7"/>
    <tablePart r:id="rId8"/>
    <tablePart r:id="rId9"/>
    <tablePart r:id="rId10"/>
    <tablePart r:id="rId11"/>
    <tablePart r:id="rId1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7"/>
  <sheetViews>
    <sheetView workbookViewId="0"/>
  </sheetViews>
  <sheetFormatPr defaultColWidth="10.88671875" defaultRowHeight="15" x14ac:dyDescent="0.2"/>
  <cols>
    <col min="1" max="5" width="18.77734375" customWidth="1"/>
    <col min="6" max="6" width="50.77734375" customWidth="1"/>
  </cols>
  <sheetData>
    <row r="1" spans="1:6" ht="19.5" x14ac:dyDescent="0.3">
      <c r="A1" s="2" t="s">
        <v>204</v>
      </c>
    </row>
    <row r="2" spans="1:6" x14ac:dyDescent="0.2">
      <c r="A2" t="s">
        <v>162</v>
      </c>
    </row>
    <row r="3" spans="1:6" x14ac:dyDescent="0.2">
      <c r="A3" t="s">
        <v>163</v>
      </c>
    </row>
    <row r="4" spans="1:6" x14ac:dyDescent="0.2">
      <c r="A4" t="s">
        <v>164</v>
      </c>
    </row>
    <row r="5" spans="1:6" x14ac:dyDescent="0.2">
      <c r="A5" t="s">
        <v>165</v>
      </c>
    </row>
    <row r="6" spans="1:6" ht="15.75" x14ac:dyDescent="0.25">
      <c r="A6" s="3" t="s">
        <v>205</v>
      </c>
    </row>
    <row r="7" spans="1:6" ht="31.5" x14ac:dyDescent="0.25">
      <c r="A7" s="5" t="s">
        <v>167</v>
      </c>
      <c r="B7" s="6" t="s">
        <v>168</v>
      </c>
      <c r="C7" s="6" t="s">
        <v>169</v>
      </c>
      <c r="D7" s="6" t="s">
        <v>170</v>
      </c>
      <c r="E7" s="6" t="s">
        <v>171</v>
      </c>
      <c r="F7" s="6" t="s">
        <v>172</v>
      </c>
    </row>
    <row r="8" spans="1:6" x14ac:dyDescent="0.2">
      <c r="A8" s="9">
        <v>2016</v>
      </c>
      <c r="B8" s="7">
        <v>160000</v>
      </c>
      <c r="C8" s="8">
        <v>78.3</v>
      </c>
      <c r="D8" s="7">
        <v>87000</v>
      </c>
      <c r="E8" s="8">
        <v>42.8</v>
      </c>
      <c r="F8" s="7"/>
    </row>
    <row r="9" spans="1:6" x14ac:dyDescent="0.2">
      <c r="A9" s="9">
        <v>2017</v>
      </c>
      <c r="B9" s="7">
        <v>150000</v>
      </c>
      <c r="C9" s="8">
        <v>75.7</v>
      </c>
      <c r="D9" s="7">
        <v>85000</v>
      </c>
      <c r="E9" s="8">
        <v>43.1</v>
      </c>
      <c r="F9" s="7"/>
    </row>
    <row r="10" spans="1:6" x14ac:dyDescent="0.2">
      <c r="A10" s="9">
        <v>2018</v>
      </c>
      <c r="B10" s="7">
        <v>156000</v>
      </c>
      <c r="C10" s="8">
        <v>80.099999999999994</v>
      </c>
      <c r="D10" s="7">
        <v>95000</v>
      </c>
      <c r="E10" s="8">
        <v>49</v>
      </c>
      <c r="F10" s="7"/>
    </row>
    <row r="11" spans="1:6" x14ac:dyDescent="0.2">
      <c r="A11" s="9">
        <v>2019</v>
      </c>
      <c r="B11" s="7">
        <v>151000</v>
      </c>
      <c r="C11" s="8">
        <v>77.8</v>
      </c>
      <c r="D11" s="7">
        <v>92000</v>
      </c>
      <c r="E11" s="8">
        <v>47.8</v>
      </c>
      <c r="F11" s="7"/>
    </row>
    <row r="12" spans="1:6" x14ac:dyDescent="0.2">
      <c r="A12" s="9">
        <v>2020</v>
      </c>
      <c r="B12" s="7">
        <v>146000</v>
      </c>
      <c r="C12" s="8">
        <v>76.2</v>
      </c>
      <c r="D12" s="7">
        <v>84000</v>
      </c>
      <c r="E12" s="8">
        <v>44</v>
      </c>
      <c r="F12" s="7"/>
    </row>
    <row r="13" spans="1:6" x14ac:dyDescent="0.2">
      <c r="A13" s="9">
        <v>2021</v>
      </c>
      <c r="B13" s="7">
        <v>151000</v>
      </c>
      <c r="C13" s="8">
        <v>79.8</v>
      </c>
      <c r="D13" s="7">
        <v>98000</v>
      </c>
      <c r="E13" s="8">
        <v>51.7</v>
      </c>
      <c r="F13" s="7"/>
    </row>
    <row r="14" spans="1:6" x14ac:dyDescent="0.2">
      <c r="A14" s="9">
        <v>2022</v>
      </c>
      <c r="B14" s="7">
        <v>148000</v>
      </c>
      <c r="C14" s="8">
        <v>78.099999999999994</v>
      </c>
      <c r="D14" s="7">
        <v>94000</v>
      </c>
      <c r="E14" s="8">
        <v>49.4</v>
      </c>
      <c r="F14" s="7"/>
    </row>
    <row r="15" spans="1:6" x14ac:dyDescent="0.2">
      <c r="A15" s="9">
        <v>2023</v>
      </c>
      <c r="B15" s="7">
        <v>157000</v>
      </c>
      <c r="C15" s="8">
        <v>81.2</v>
      </c>
      <c r="D15" s="7">
        <v>104000</v>
      </c>
      <c r="E15" s="8">
        <v>53.9</v>
      </c>
      <c r="F15" s="7"/>
    </row>
    <row r="16" spans="1:6" x14ac:dyDescent="0.2">
      <c r="A16" s="9"/>
      <c r="B16" s="7"/>
      <c r="C16" s="8"/>
      <c r="D16" s="7"/>
      <c r="E16" s="8"/>
      <c r="F16" s="7"/>
    </row>
    <row r="17" spans="1:6" ht="15.75" x14ac:dyDescent="0.25">
      <c r="A17" s="3" t="s">
        <v>206</v>
      </c>
    </row>
    <row r="18" spans="1:6" ht="31.5" x14ac:dyDescent="0.25">
      <c r="A18" s="5" t="s">
        <v>167</v>
      </c>
      <c r="B18" s="6" t="s">
        <v>168</v>
      </c>
      <c r="C18" s="6" t="s">
        <v>169</v>
      </c>
      <c r="D18" s="6" t="s">
        <v>170</v>
      </c>
      <c r="E18" s="6" t="s">
        <v>171</v>
      </c>
      <c r="F18" s="6" t="s">
        <v>172</v>
      </c>
    </row>
    <row r="19" spans="1:6" x14ac:dyDescent="0.2">
      <c r="A19" s="9">
        <v>2016</v>
      </c>
      <c r="B19" s="10">
        <v>9000</v>
      </c>
      <c r="C19" s="11">
        <v>70</v>
      </c>
      <c r="D19" s="10">
        <v>6000</v>
      </c>
      <c r="E19" s="11">
        <v>42.2</v>
      </c>
      <c r="F19" s="7" t="s">
        <v>207</v>
      </c>
    </row>
    <row r="20" spans="1:6" x14ac:dyDescent="0.2">
      <c r="A20" s="9">
        <v>2017</v>
      </c>
      <c r="B20" s="10">
        <v>7000</v>
      </c>
      <c r="C20" s="11">
        <v>80.5</v>
      </c>
      <c r="D20" s="10">
        <v>5000</v>
      </c>
      <c r="E20" s="11">
        <v>53.4</v>
      </c>
      <c r="F20" s="7" t="s">
        <v>207</v>
      </c>
    </row>
    <row r="21" spans="1:6" x14ac:dyDescent="0.2">
      <c r="A21" s="9">
        <v>2018</v>
      </c>
      <c r="B21" s="10">
        <v>9000</v>
      </c>
      <c r="C21" s="11">
        <v>83.5</v>
      </c>
      <c r="D21" s="10">
        <v>4000</v>
      </c>
      <c r="E21" s="11">
        <v>42.1</v>
      </c>
      <c r="F21" s="7" t="s">
        <v>207</v>
      </c>
    </row>
    <row r="22" spans="1:6" x14ac:dyDescent="0.2">
      <c r="A22" s="9">
        <v>2019</v>
      </c>
      <c r="B22" s="7">
        <v>10000</v>
      </c>
      <c r="C22" s="8">
        <v>85.4</v>
      </c>
      <c r="D22" s="10">
        <v>6000</v>
      </c>
      <c r="E22" s="11">
        <v>49.7</v>
      </c>
      <c r="F22" s="7" t="s">
        <v>208</v>
      </c>
    </row>
    <row r="23" spans="1:6" x14ac:dyDescent="0.2">
      <c r="A23" s="9">
        <v>2020</v>
      </c>
      <c r="B23" s="7">
        <v>12000</v>
      </c>
      <c r="C23" s="8">
        <v>77.7</v>
      </c>
      <c r="D23" s="10">
        <v>7000</v>
      </c>
      <c r="E23" s="11">
        <v>46.5</v>
      </c>
      <c r="F23" s="7" t="s">
        <v>208</v>
      </c>
    </row>
    <row r="24" spans="1:6" x14ac:dyDescent="0.2">
      <c r="A24" s="9">
        <v>2021</v>
      </c>
      <c r="B24" s="7">
        <v>7000</v>
      </c>
      <c r="C24" s="8">
        <v>76.400000000000006</v>
      </c>
      <c r="D24" s="10">
        <v>4000</v>
      </c>
      <c r="E24" s="11">
        <v>46.2</v>
      </c>
      <c r="F24" s="7" t="s">
        <v>208</v>
      </c>
    </row>
    <row r="25" spans="1:6" x14ac:dyDescent="0.2">
      <c r="A25" s="9">
        <v>2022</v>
      </c>
      <c r="B25" s="7">
        <v>12000</v>
      </c>
      <c r="C25" s="8">
        <v>83</v>
      </c>
      <c r="D25" s="7">
        <v>6000</v>
      </c>
      <c r="E25" s="8">
        <v>42.8</v>
      </c>
      <c r="F25" s="7"/>
    </row>
    <row r="26" spans="1:6" x14ac:dyDescent="0.2">
      <c r="A26" s="9">
        <v>2023</v>
      </c>
      <c r="B26" s="7">
        <v>12000</v>
      </c>
      <c r="C26" s="8">
        <v>87.9</v>
      </c>
      <c r="D26" s="7">
        <v>7000</v>
      </c>
      <c r="E26" s="8">
        <v>53.8</v>
      </c>
      <c r="F26" s="7"/>
    </row>
    <row r="27" spans="1:6" x14ac:dyDescent="0.2">
      <c r="A27" s="9"/>
      <c r="B27" s="7"/>
      <c r="C27" s="8"/>
      <c r="D27" s="7"/>
      <c r="E27" s="8"/>
      <c r="F27" s="7"/>
    </row>
    <row r="28" spans="1:6" ht="15.75" x14ac:dyDescent="0.25">
      <c r="A28" s="3" t="s">
        <v>209</v>
      </c>
    </row>
    <row r="29" spans="1:6" ht="31.5" x14ac:dyDescent="0.25">
      <c r="A29" s="5" t="s">
        <v>167</v>
      </c>
      <c r="B29" s="6" t="s">
        <v>168</v>
      </c>
      <c r="C29" s="6" t="s">
        <v>169</v>
      </c>
      <c r="D29" s="6" t="s">
        <v>170</v>
      </c>
      <c r="E29" s="6" t="s">
        <v>171</v>
      </c>
      <c r="F29" s="6" t="s">
        <v>172</v>
      </c>
    </row>
    <row r="30" spans="1:6" x14ac:dyDescent="0.2">
      <c r="A30" s="9">
        <v>2016</v>
      </c>
      <c r="B30" s="7">
        <v>10000</v>
      </c>
      <c r="C30" s="8">
        <v>75.8</v>
      </c>
      <c r="D30" s="10">
        <v>4000</v>
      </c>
      <c r="E30" s="11">
        <v>34.1</v>
      </c>
      <c r="F30" s="7" t="s">
        <v>210</v>
      </c>
    </row>
    <row r="31" spans="1:6" x14ac:dyDescent="0.2">
      <c r="A31" s="9">
        <v>2017</v>
      </c>
      <c r="B31" s="7">
        <v>13000</v>
      </c>
      <c r="C31" s="8">
        <v>72</v>
      </c>
      <c r="D31" s="7">
        <v>9000</v>
      </c>
      <c r="E31" s="8">
        <v>51.1</v>
      </c>
      <c r="F31" s="7"/>
    </row>
    <row r="32" spans="1:6" x14ac:dyDescent="0.2">
      <c r="A32" s="9">
        <v>2018</v>
      </c>
      <c r="B32" s="7">
        <v>11000</v>
      </c>
      <c r="C32" s="8">
        <v>78.3</v>
      </c>
      <c r="D32" s="10">
        <v>7000</v>
      </c>
      <c r="E32" s="11">
        <v>50.1</v>
      </c>
      <c r="F32" s="7" t="s">
        <v>210</v>
      </c>
    </row>
    <row r="33" spans="1:6" x14ac:dyDescent="0.2">
      <c r="A33" s="9">
        <v>2019</v>
      </c>
      <c r="B33" s="7">
        <v>14000</v>
      </c>
      <c r="C33" s="8">
        <v>85.7</v>
      </c>
      <c r="D33" s="7">
        <v>8000</v>
      </c>
      <c r="E33" s="8">
        <v>52.1</v>
      </c>
      <c r="F33" s="7"/>
    </row>
    <row r="34" spans="1:6" x14ac:dyDescent="0.2">
      <c r="A34" s="9">
        <v>2020</v>
      </c>
      <c r="B34" s="7">
        <v>12000</v>
      </c>
      <c r="C34" s="8">
        <v>80</v>
      </c>
      <c r="D34" s="10">
        <v>8000</v>
      </c>
      <c r="E34" s="11">
        <v>52.3</v>
      </c>
      <c r="F34" s="7" t="s">
        <v>210</v>
      </c>
    </row>
    <row r="35" spans="1:6" x14ac:dyDescent="0.2">
      <c r="A35" s="9">
        <v>2021</v>
      </c>
      <c r="B35" s="7">
        <v>14000</v>
      </c>
      <c r="C35" s="8">
        <v>82.9</v>
      </c>
      <c r="D35" s="7">
        <v>10000</v>
      </c>
      <c r="E35" s="8">
        <v>59.6</v>
      </c>
      <c r="F35" s="7"/>
    </row>
    <row r="36" spans="1:6" x14ac:dyDescent="0.2">
      <c r="A36" s="9">
        <v>2022</v>
      </c>
      <c r="B36" s="7">
        <v>15000</v>
      </c>
      <c r="C36" s="8">
        <v>83.5</v>
      </c>
      <c r="D36" s="7">
        <v>9000</v>
      </c>
      <c r="E36" s="8">
        <v>48.7</v>
      </c>
      <c r="F36" s="7"/>
    </row>
    <row r="37" spans="1:6" x14ac:dyDescent="0.2">
      <c r="A37" s="9">
        <v>2023</v>
      </c>
      <c r="B37" s="7">
        <v>16000</v>
      </c>
      <c r="C37" s="8">
        <v>85.2</v>
      </c>
      <c r="D37" s="7">
        <v>11000</v>
      </c>
      <c r="E37" s="8">
        <v>61.1</v>
      </c>
      <c r="F37" s="7"/>
    </row>
    <row r="38" spans="1:6" x14ac:dyDescent="0.2">
      <c r="A38" s="9"/>
      <c r="B38" s="7"/>
      <c r="C38" s="8"/>
      <c r="D38" s="7"/>
      <c r="E38" s="8"/>
      <c r="F38" s="7"/>
    </row>
    <row r="39" spans="1:6" ht="15.75" x14ac:dyDescent="0.25">
      <c r="A39" s="3" t="s">
        <v>211</v>
      </c>
    </row>
    <row r="40" spans="1:6" ht="31.5" x14ac:dyDescent="0.25">
      <c r="A40" s="5" t="s">
        <v>167</v>
      </c>
      <c r="B40" s="6" t="s">
        <v>168</v>
      </c>
      <c r="C40" s="6" t="s">
        <v>169</v>
      </c>
      <c r="D40" s="6" t="s">
        <v>170</v>
      </c>
      <c r="E40" s="6" t="s">
        <v>171</v>
      </c>
      <c r="F40" s="6" t="s">
        <v>172</v>
      </c>
    </row>
    <row r="41" spans="1:6" x14ac:dyDescent="0.2">
      <c r="A41" s="9">
        <v>2016</v>
      </c>
      <c r="B41" s="7">
        <v>19000</v>
      </c>
      <c r="C41" s="8">
        <v>81.099999999999994</v>
      </c>
      <c r="D41" s="7">
        <v>10000</v>
      </c>
      <c r="E41" s="8">
        <v>41.1</v>
      </c>
      <c r="F41" s="7"/>
    </row>
    <row r="42" spans="1:6" x14ac:dyDescent="0.2">
      <c r="A42" s="9">
        <v>2017</v>
      </c>
      <c r="B42" s="7">
        <v>12000</v>
      </c>
      <c r="C42" s="8">
        <v>71.900000000000006</v>
      </c>
      <c r="D42" s="10">
        <v>7000</v>
      </c>
      <c r="E42" s="11">
        <v>43.8</v>
      </c>
      <c r="F42" s="7" t="s">
        <v>210</v>
      </c>
    </row>
    <row r="43" spans="1:6" x14ac:dyDescent="0.2">
      <c r="A43" s="9">
        <v>2018</v>
      </c>
      <c r="B43" s="7">
        <v>15000</v>
      </c>
      <c r="C43" s="8">
        <v>74.2</v>
      </c>
      <c r="D43" s="7">
        <v>10000</v>
      </c>
      <c r="E43" s="8">
        <v>50.5</v>
      </c>
      <c r="F43" s="7"/>
    </row>
    <row r="44" spans="1:6" x14ac:dyDescent="0.2">
      <c r="A44" s="9">
        <v>2019</v>
      </c>
      <c r="B44" s="7">
        <v>17000</v>
      </c>
      <c r="C44" s="8">
        <v>77.8</v>
      </c>
      <c r="D44" s="7">
        <v>9000</v>
      </c>
      <c r="E44" s="8">
        <v>39.799999999999997</v>
      </c>
      <c r="F44" s="7"/>
    </row>
    <row r="45" spans="1:6" x14ac:dyDescent="0.2">
      <c r="A45" s="9">
        <v>2020</v>
      </c>
      <c r="B45" s="7">
        <v>18000</v>
      </c>
      <c r="C45" s="8">
        <v>87.1</v>
      </c>
      <c r="D45" s="7">
        <v>9000</v>
      </c>
      <c r="E45" s="8">
        <v>43.7</v>
      </c>
      <c r="F45" s="7"/>
    </row>
    <row r="46" spans="1:6" x14ac:dyDescent="0.2">
      <c r="A46" s="9">
        <v>2021</v>
      </c>
      <c r="B46" s="7">
        <v>19000</v>
      </c>
      <c r="C46" s="8">
        <v>90.1</v>
      </c>
      <c r="D46" s="7">
        <v>11000</v>
      </c>
      <c r="E46" s="8">
        <v>53</v>
      </c>
      <c r="F46" s="7"/>
    </row>
    <row r="47" spans="1:6" x14ac:dyDescent="0.2">
      <c r="A47" s="9">
        <v>2022</v>
      </c>
      <c r="B47" s="7">
        <v>18000</v>
      </c>
      <c r="C47" s="8">
        <v>78.8</v>
      </c>
      <c r="D47" s="7">
        <v>10000</v>
      </c>
      <c r="E47" s="8">
        <v>46</v>
      </c>
      <c r="F47" s="7"/>
    </row>
    <row r="48" spans="1:6" x14ac:dyDescent="0.2">
      <c r="A48" s="9">
        <v>2023</v>
      </c>
      <c r="B48" s="7">
        <v>19000</v>
      </c>
      <c r="C48" s="8">
        <v>85.1</v>
      </c>
      <c r="D48" s="7">
        <v>13000</v>
      </c>
      <c r="E48" s="8">
        <v>57.9</v>
      </c>
      <c r="F48" s="7"/>
    </row>
    <row r="49" spans="1:6" x14ac:dyDescent="0.2">
      <c r="A49" s="9"/>
      <c r="B49" s="7"/>
      <c r="C49" s="8"/>
      <c r="D49" s="7"/>
      <c r="E49" s="8"/>
      <c r="F49" s="7"/>
    </row>
    <row r="50" spans="1:6" ht="15.75" x14ac:dyDescent="0.25">
      <c r="A50" s="3" t="s">
        <v>212</v>
      </c>
    </row>
    <row r="51" spans="1:6" ht="31.5" x14ac:dyDescent="0.25">
      <c r="A51" s="5" t="s">
        <v>167</v>
      </c>
      <c r="B51" s="6" t="s">
        <v>168</v>
      </c>
      <c r="C51" s="6" t="s">
        <v>169</v>
      </c>
      <c r="D51" s="6" t="s">
        <v>170</v>
      </c>
      <c r="E51" s="6" t="s">
        <v>171</v>
      </c>
      <c r="F51" s="6" t="s">
        <v>172</v>
      </c>
    </row>
    <row r="52" spans="1:6" x14ac:dyDescent="0.2">
      <c r="A52" s="9">
        <v>2016</v>
      </c>
      <c r="B52" s="7">
        <v>32000</v>
      </c>
      <c r="C52" s="8">
        <v>83.3</v>
      </c>
      <c r="D52" s="7">
        <v>19000</v>
      </c>
      <c r="E52" s="8">
        <v>50.4</v>
      </c>
      <c r="F52" s="7"/>
    </row>
    <row r="53" spans="1:6" x14ac:dyDescent="0.2">
      <c r="A53" s="9">
        <v>2017</v>
      </c>
      <c r="B53" s="7">
        <v>32000</v>
      </c>
      <c r="C53" s="8">
        <v>75.599999999999994</v>
      </c>
      <c r="D53" s="7">
        <v>21000</v>
      </c>
      <c r="E53" s="8">
        <v>49.4</v>
      </c>
      <c r="F53" s="7"/>
    </row>
    <row r="54" spans="1:6" x14ac:dyDescent="0.2">
      <c r="A54" s="9">
        <v>2018</v>
      </c>
      <c r="B54" s="7">
        <v>35000</v>
      </c>
      <c r="C54" s="8">
        <v>84.1</v>
      </c>
      <c r="D54" s="7">
        <v>22000</v>
      </c>
      <c r="E54" s="8">
        <v>52.1</v>
      </c>
      <c r="F54" s="7"/>
    </row>
    <row r="55" spans="1:6" x14ac:dyDescent="0.2">
      <c r="A55" s="9">
        <v>2019</v>
      </c>
      <c r="B55" s="7">
        <v>29000</v>
      </c>
      <c r="C55" s="8">
        <v>71.599999999999994</v>
      </c>
      <c r="D55" s="7">
        <v>19000</v>
      </c>
      <c r="E55" s="8">
        <v>45.5</v>
      </c>
      <c r="F55" s="7"/>
    </row>
    <row r="56" spans="1:6" x14ac:dyDescent="0.2">
      <c r="A56" s="9">
        <v>2020</v>
      </c>
      <c r="B56" s="7">
        <v>24000</v>
      </c>
      <c r="C56" s="8">
        <v>65.8</v>
      </c>
      <c r="D56" s="7">
        <v>16000</v>
      </c>
      <c r="E56" s="8">
        <v>43.7</v>
      </c>
      <c r="F56" s="7"/>
    </row>
    <row r="57" spans="1:6" x14ac:dyDescent="0.2">
      <c r="A57" s="9">
        <v>2021</v>
      </c>
      <c r="B57" s="7">
        <v>23000</v>
      </c>
      <c r="C57" s="8">
        <v>76.8</v>
      </c>
      <c r="D57" s="7">
        <v>16000</v>
      </c>
      <c r="E57" s="8">
        <v>53.1</v>
      </c>
      <c r="F57" s="7"/>
    </row>
    <row r="58" spans="1:6" x14ac:dyDescent="0.2">
      <c r="A58" s="9">
        <v>2022</v>
      </c>
      <c r="B58" s="7">
        <v>32000</v>
      </c>
      <c r="C58" s="8">
        <v>78</v>
      </c>
      <c r="D58" s="7">
        <v>24000</v>
      </c>
      <c r="E58" s="8">
        <v>59.2</v>
      </c>
      <c r="F58" s="7"/>
    </row>
    <row r="59" spans="1:6" x14ac:dyDescent="0.2">
      <c r="A59" s="9">
        <v>2023</v>
      </c>
      <c r="B59" s="7">
        <v>30000</v>
      </c>
      <c r="C59" s="8">
        <v>74</v>
      </c>
      <c r="D59" s="7">
        <v>22000</v>
      </c>
      <c r="E59" s="8">
        <v>54.9</v>
      </c>
      <c r="F59" s="7"/>
    </row>
    <row r="60" spans="1:6" x14ac:dyDescent="0.2">
      <c r="A60" s="9"/>
      <c r="B60" s="7"/>
      <c r="C60" s="8"/>
      <c r="D60" s="7"/>
      <c r="E60" s="8"/>
      <c r="F60" s="7"/>
    </row>
    <row r="61" spans="1:6" ht="15.75" x14ac:dyDescent="0.25">
      <c r="A61" s="3" t="s">
        <v>213</v>
      </c>
    </row>
    <row r="62" spans="1:6" ht="31.5" x14ac:dyDescent="0.25">
      <c r="A62" s="5" t="s">
        <v>167</v>
      </c>
      <c r="B62" s="6" t="s">
        <v>168</v>
      </c>
      <c r="C62" s="6" t="s">
        <v>169</v>
      </c>
      <c r="D62" s="6" t="s">
        <v>170</v>
      </c>
      <c r="E62" s="6" t="s">
        <v>171</v>
      </c>
      <c r="F62" s="6" t="s">
        <v>172</v>
      </c>
    </row>
    <row r="63" spans="1:6" x14ac:dyDescent="0.2">
      <c r="A63" s="9">
        <v>2016</v>
      </c>
      <c r="B63" s="7">
        <v>14000</v>
      </c>
      <c r="C63" s="8">
        <v>77</v>
      </c>
      <c r="D63" s="10">
        <v>6000</v>
      </c>
      <c r="E63" s="11">
        <v>35.200000000000003</v>
      </c>
      <c r="F63" s="7" t="s">
        <v>208</v>
      </c>
    </row>
    <row r="64" spans="1:6" x14ac:dyDescent="0.2">
      <c r="A64" s="9">
        <v>2017</v>
      </c>
      <c r="B64" s="7">
        <v>11000</v>
      </c>
      <c r="C64" s="8">
        <v>76.900000000000006</v>
      </c>
      <c r="D64" s="10">
        <v>4000</v>
      </c>
      <c r="E64" s="11">
        <v>28.6</v>
      </c>
      <c r="F64" s="7" t="s">
        <v>208</v>
      </c>
    </row>
    <row r="65" spans="1:6" x14ac:dyDescent="0.2">
      <c r="A65" s="9">
        <v>2018</v>
      </c>
      <c r="B65" s="10">
        <v>7000</v>
      </c>
      <c r="C65" s="11">
        <v>72.900000000000006</v>
      </c>
      <c r="D65" s="10">
        <v>4000</v>
      </c>
      <c r="E65" s="11">
        <v>42.5</v>
      </c>
      <c r="F65" s="7" t="s">
        <v>207</v>
      </c>
    </row>
    <row r="66" spans="1:6" x14ac:dyDescent="0.2">
      <c r="A66" s="9">
        <v>2019</v>
      </c>
      <c r="B66" s="7">
        <v>7000</v>
      </c>
      <c r="C66" s="8">
        <v>72.099999999999994</v>
      </c>
      <c r="D66" s="10">
        <v>4000</v>
      </c>
      <c r="E66" s="11">
        <v>41.4</v>
      </c>
      <c r="F66" s="7" t="s">
        <v>208</v>
      </c>
    </row>
    <row r="67" spans="1:6" x14ac:dyDescent="0.2">
      <c r="A67" s="9">
        <v>2020</v>
      </c>
      <c r="B67" s="7">
        <v>9000</v>
      </c>
      <c r="C67" s="8">
        <v>70.900000000000006</v>
      </c>
      <c r="D67" s="10">
        <v>5000</v>
      </c>
      <c r="E67" s="11">
        <v>37.6</v>
      </c>
      <c r="F67" s="7" t="s">
        <v>208</v>
      </c>
    </row>
    <row r="68" spans="1:6" x14ac:dyDescent="0.2">
      <c r="A68" s="9">
        <v>2021</v>
      </c>
      <c r="B68" s="7">
        <v>11000</v>
      </c>
      <c r="C68" s="8">
        <v>88.9</v>
      </c>
      <c r="D68" s="10">
        <v>7000</v>
      </c>
      <c r="E68" s="11">
        <v>61.4</v>
      </c>
      <c r="F68" s="7" t="s">
        <v>208</v>
      </c>
    </row>
    <row r="69" spans="1:6" x14ac:dyDescent="0.2">
      <c r="A69" s="9">
        <v>2022</v>
      </c>
      <c r="B69" s="7">
        <v>6000</v>
      </c>
      <c r="C69" s="8">
        <v>72.5</v>
      </c>
      <c r="D69" s="10">
        <v>3000</v>
      </c>
      <c r="E69" s="11">
        <v>34.200000000000003</v>
      </c>
      <c r="F69" s="7" t="s">
        <v>208</v>
      </c>
    </row>
    <row r="70" spans="1:6" x14ac:dyDescent="0.2">
      <c r="A70" s="9">
        <v>2023</v>
      </c>
      <c r="B70" s="7">
        <v>5000</v>
      </c>
      <c r="C70" s="8">
        <v>75.7</v>
      </c>
      <c r="D70" s="10">
        <v>2000</v>
      </c>
      <c r="E70" s="11">
        <v>30.4</v>
      </c>
      <c r="F70" s="7" t="s">
        <v>208</v>
      </c>
    </row>
    <row r="71" spans="1:6" x14ac:dyDescent="0.2">
      <c r="A71" s="9"/>
      <c r="B71" s="7"/>
      <c r="C71" s="8"/>
      <c r="D71" s="7"/>
      <c r="E71" s="8"/>
      <c r="F71" s="7"/>
    </row>
    <row r="72" spans="1:6" ht="15.75" x14ac:dyDescent="0.25">
      <c r="A72" s="3" t="s">
        <v>214</v>
      </c>
    </row>
    <row r="73" spans="1:6" ht="31.5" x14ac:dyDescent="0.25">
      <c r="A73" s="5" t="s">
        <v>167</v>
      </c>
      <c r="B73" s="6" t="s">
        <v>168</v>
      </c>
      <c r="C73" s="6" t="s">
        <v>169</v>
      </c>
      <c r="D73" s="6" t="s">
        <v>170</v>
      </c>
      <c r="E73" s="6" t="s">
        <v>171</v>
      </c>
      <c r="F73" s="6" t="s">
        <v>172</v>
      </c>
    </row>
    <row r="74" spans="1:6" x14ac:dyDescent="0.2">
      <c r="A74" s="9">
        <v>2016</v>
      </c>
      <c r="B74" s="7">
        <v>11000</v>
      </c>
      <c r="C74" s="8">
        <v>69.099999999999994</v>
      </c>
      <c r="D74" s="10">
        <v>7000</v>
      </c>
      <c r="E74" s="11">
        <v>40.5</v>
      </c>
      <c r="F74" s="7" t="s">
        <v>210</v>
      </c>
    </row>
    <row r="75" spans="1:6" x14ac:dyDescent="0.2">
      <c r="A75" s="9">
        <v>2017</v>
      </c>
      <c r="B75" s="7">
        <v>15000</v>
      </c>
      <c r="C75" s="8">
        <v>80.599999999999994</v>
      </c>
      <c r="D75" s="10">
        <v>8000</v>
      </c>
      <c r="E75" s="11">
        <v>43.1</v>
      </c>
      <c r="F75" s="7" t="s">
        <v>210</v>
      </c>
    </row>
    <row r="76" spans="1:6" x14ac:dyDescent="0.2">
      <c r="A76" s="9">
        <v>2018</v>
      </c>
      <c r="B76" s="7">
        <v>16000</v>
      </c>
      <c r="C76" s="8">
        <v>83</v>
      </c>
      <c r="D76" s="7">
        <v>10000</v>
      </c>
      <c r="E76" s="8">
        <v>52.3</v>
      </c>
      <c r="F76" s="7"/>
    </row>
    <row r="77" spans="1:6" x14ac:dyDescent="0.2">
      <c r="A77" s="9">
        <v>2019</v>
      </c>
      <c r="B77" s="7">
        <v>11000</v>
      </c>
      <c r="C77" s="8">
        <v>70.599999999999994</v>
      </c>
      <c r="D77" s="7">
        <v>6000</v>
      </c>
      <c r="E77" s="8">
        <v>40.700000000000003</v>
      </c>
      <c r="F77" s="7"/>
    </row>
    <row r="78" spans="1:6" x14ac:dyDescent="0.2">
      <c r="A78" s="9">
        <v>2020</v>
      </c>
      <c r="B78" s="7">
        <v>11000</v>
      </c>
      <c r="C78" s="8">
        <v>62.8</v>
      </c>
      <c r="D78" s="10">
        <v>6000</v>
      </c>
      <c r="E78" s="11">
        <v>31.6</v>
      </c>
      <c r="F78" s="7" t="s">
        <v>210</v>
      </c>
    </row>
    <row r="79" spans="1:6" x14ac:dyDescent="0.2">
      <c r="A79" s="9">
        <v>2021</v>
      </c>
      <c r="B79" s="7">
        <v>18000</v>
      </c>
      <c r="C79" s="8">
        <v>82.6</v>
      </c>
      <c r="D79" s="7">
        <v>11000</v>
      </c>
      <c r="E79" s="8">
        <v>49.9</v>
      </c>
      <c r="F79" s="7"/>
    </row>
    <row r="80" spans="1:6" x14ac:dyDescent="0.2">
      <c r="A80" s="9">
        <v>2022</v>
      </c>
      <c r="B80" s="7">
        <v>10000</v>
      </c>
      <c r="C80" s="8">
        <v>82.7</v>
      </c>
      <c r="D80" s="10">
        <v>6000</v>
      </c>
      <c r="E80" s="11">
        <v>51.8</v>
      </c>
      <c r="F80" s="7"/>
    </row>
    <row r="81" spans="1:6" x14ac:dyDescent="0.2">
      <c r="A81" s="9">
        <v>2023</v>
      </c>
      <c r="B81" s="7">
        <v>10000</v>
      </c>
      <c r="C81" s="8">
        <v>80.900000000000006</v>
      </c>
      <c r="D81" s="10">
        <v>4000</v>
      </c>
      <c r="E81" s="11">
        <v>36.4</v>
      </c>
      <c r="F81" s="7" t="s">
        <v>210</v>
      </c>
    </row>
    <row r="82" spans="1:6" x14ac:dyDescent="0.2">
      <c r="A82" s="9"/>
      <c r="B82" s="7"/>
      <c r="C82" s="8"/>
      <c r="D82" s="7"/>
      <c r="E82" s="8"/>
      <c r="F82" s="7"/>
    </row>
    <row r="83" spans="1:6" ht="15.75" x14ac:dyDescent="0.25">
      <c r="A83" s="3" t="s">
        <v>215</v>
      </c>
    </row>
    <row r="84" spans="1:6" ht="31.5" x14ac:dyDescent="0.25">
      <c r="A84" s="5" t="s">
        <v>167</v>
      </c>
      <c r="B84" s="6" t="s">
        <v>168</v>
      </c>
      <c r="C84" s="6" t="s">
        <v>169</v>
      </c>
      <c r="D84" s="6" t="s">
        <v>170</v>
      </c>
      <c r="E84" s="6" t="s">
        <v>171</v>
      </c>
      <c r="F84" s="6" t="s">
        <v>172</v>
      </c>
    </row>
    <row r="85" spans="1:6" x14ac:dyDescent="0.2">
      <c r="A85" s="9">
        <v>2016</v>
      </c>
      <c r="B85" s="7">
        <v>11000</v>
      </c>
      <c r="C85" s="8">
        <v>81.3</v>
      </c>
      <c r="D85" s="10">
        <v>6000</v>
      </c>
      <c r="E85" s="11">
        <v>47.7</v>
      </c>
      <c r="F85" s="7" t="s">
        <v>210</v>
      </c>
    </row>
    <row r="86" spans="1:6" x14ac:dyDescent="0.2">
      <c r="A86" s="9">
        <v>2017</v>
      </c>
      <c r="B86" s="7">
        <v>12000</v>
      </c>
      <c r="C86" s="8">
        <v>82.6</v>
      </c>
      <c r="D86" s="7">
        <v>7000</v>
      </c>
      <c r="E86" s="8">
        <v>53.2</v>
      </c>
      <c r="F86" s="7"/>
    </row>
    <row r="87" spans="1:6" x14ac:dyDescent="0.2">
      <c r="A87" s="9">
        <v>2018</v>
      </c>
      <c r="B87" s="7">
        <v>13000</v>
      </c>
      <c r="C87" s="8">
        <v>89</v>
      </c>
      <c r="D87" s="7">
        <v>7000</v>
      </c>
      <c r="E87" s="8">
        <v>49.6</v>
      </c>
      <c r="F87" s="7"/>
    </row>
    <row r="88" spans="1:6" x14ac:dyDescent="0.2">
      <c r="A88" s="9">
        <v>2019</v>
      </c>
      <c r="B88" s="7">
        <v>11000</v>
      </c>
      <c r="C88" s="8">
        <v>78.7</v>
      </c>
      <c r="D88" s="7">
        <v>7000</v>
      </c>
      <c r="E88" s="8">
        <v>50.4</v>
      </c>
      <c r="F88" s="7"/>
    </row>
    <row r="89" spans="1:6" x14ac:dyDescent="0.2">
      <c r="A89" s="9">
        <v>2020</v>
      </c>
      <c r="B89" s="7">
        <v>10000</v>
      </c>
      <c r="C89" s="8">
        <v>80.7</v>
      </c>
      <c r="D89" s="10">
        <v>6000</v>
      </c>
      <c r="E89" s="11">
        <v>43.8</v>
      </c>
      <c r="F89" s="7" t="s">
        <v>210</v>
      </c>
    </row>
    <row r="90" spans="1:6" x14ac:dyDescent="0.2">
      <c r="A90" s="9">
        <v>2021</v>
      </c>
      <c r="B90" s="7">
        <v>8000</v>
      </c>
      <c r="C90" s="8">
        <v>78.400000000000006</v>
      </c>
      <c r="D90" s="10">
        <v>5000</v>
      </c>
      <c r="E90" s="11">
        <v>46.1</v>
      </c>
      <c r="F90" s="7" t="s">
        <v>210</v>
      </c>
    </row>
    <row r="91" spans="1:6" x14ac:dyDescent="0.2">
      <c r="A91" s="9">
        <v>2022</v>
      </c>
      <c r="B91" s="7">
        <v>8000</v>
      </c>
      <c r="C91" s="8">
        <v>65.2</v>
      </c>
      <c r="D91" s="7">
        <v>5000</v>
      </c>
      <c r="E91" s="8">
        <v>40.799999999999997</v>
      </c>
      <c r="F91" s="7"/>
    </row>
    <row r="92" spans="1:6" x14ac:dyDescent="0.2">
      <c r="A92" s="9">
        <v>2023</v>
      </c>
      <c r="B92" s="7">
        <v>10000</v>
      </c>
      <c r="C92" s="8">
        <v>86.1</v>
      </c>
      <c r="D92" s="7">
        <v>7000</v>
      </c>
      <c r="E92" s="8">
        <v>65</v>
      </c>
      <c r="F92" s="7"/>
    </row>
    <row r="93" spans="1:6" x14ac:dyDescent="0.2">
      <c r="A93" s="9"/>
      <c r="B93" s="7"/>
      <c r="C93" s="8"/>
      <c r="D93" s="7"/>
      <c r="E93" s="8"/>
      <c r="F93" s="7"/>
    </row>
    <row r="94" spans="1:6" ht="15.75" x14ac:dyDescent="0.25">
      <c r="A94" s="3" t="s">
        <v>216</v>
      </c>
    </row>
    <row r="95" spans="1:6" ht="31.5" x14ac:dyDescent="0.25">
      <c r="A95" s="5" t="s">
        <v>167</v>
      </c>
      <c r="B95" s="6" t="s">
        <v>168</v>
      </c>
      <c r="C95" s="6" t="s">
        <v>169</v>
      </c>
      <c r="D95" s="6" t="s">
        <v>170</v>
      </c>
      <c r="E95" s="6" t="s">
        <v>171</v>
      </c>
      <c r="F95" s="6" t="s">
        <v>172</v>
      </c>
    </row>
    <row r="96" spans="1:6" x14ac:dyDescent="0.2">
      <c r="A96" s="9">
        <v>2016</v>
      </c>
      <c r="B96" s="7">
        <v>15000</v>
      </c>
      <c r="C96" s="8">
        <v>81</v>
      </c>
      <c r="D96" s="10">
        <v>6000</v>
      </c>
      <c r="E96" s="11">
        <v>33.799999999999997</v>
      </c>
      <c r="F96" s="7" t="s">
        <v>210</v>
      </c>
    </row>
    <row r="97" spans="1:6" x14ac:dyDescent="0.2">
      <c r="A97" s="9">
        <v>2017</v>
      </c>
      <c r="B97" s="7">
        <v>11000</v>
      </c>
      <c r="C97" s="8">
        <v>80.099999999999994</v>
      </c>
      <c r="D97" s="10">
        <v>3000</v>
      </c>
      <c r="E97" s="11">
        <v>24.4</v>
      </c>
      <c r="F97" s="7" t="s">
        <v>210</v>
      </c>
    </row>
    <row r="98" spans="1:6" x14ac:dyDescent="0.2">
      <c r="A98" s="9">
        <v>2018</v>
      </c>
      <c r="B98" s="7">
        <v>11000</v>
      </c>
      <c r="C98" s="8">
        <v>87.4</v>
      </c>
      <c r="D98" s="10">
        <v>7000</v>
      </c>
      <c r="E98" s="11">
        <v>53.1</v>
      </c>
      <c r="F98" s="7" t="s">
        <v>210</v>
      </c>
    </row>
    <row r="99" spans="1:6" x14ac:dyDescent="0.2">
      <c r="A99" s="9">
        <v>2019</v>
      </c>
      <c r="B99" s="7">
        <v>11000</v>
      </c>
      <c r="C99" s="8">
        <v>91.9</v>
      </c>
      <c r="D99" s="7">
        <v>8000</v>
      </c>
      <c r="E99" s="8">
        <v>64.400000000000006</v>
      </c>
      <c r="F99" s="7"/>
    </row>
    <row r="100" spans="1:6" x14ac:dyDescent="0.2">
      <c r="A100" s="9">
        <v>2020</v>
      </c>
      <c r="B100" s="7">
        <v>10000</v>
      </c>
      <c r="C100" s="8">
        <v>82.5</v>
      </c>
      <c r="D100" s="7">
        <v>8000</v>
      </c>
      <c r="E100" s="8">
        <v>63.2</v>
      </c>
      <c r="F100" s="7"/>
    </row>
    <row r="101" spans="1:6" x14ac:dyDescent="0.2">
      <c r="A101" s="9">
        <v>2021</v>
      </c>
      <c r="B101" s="7">
        <v>11000</v>
      </c>
      <c r="C101" s="8">
        <v>74</v>
      </c>
      <c r="D101" s="7">
        <v>7000</v>
      </c>
      <c r="E101" s="8">
        <v>48.9</v>
      </c>
      <c r="F101" s="7"/>
    </row>
    <row r="102" spans="1:6" x14ac:dyDescent="0.2">
      <c r="A102" s="9">
        <v>2022</v>
      </c>
      <c r="B102" s="7">
        <v>10000</v>
      </c>
      <c r="C102" s="8">
        <v>71.400000000000006</v>
      </c>
      <c r="D102" s="7">
        <v>7000</v>
      </c>
      <c r="E102" s="8">
        <v>48.7</v>
      </c>
      <c r="F102" s="7"/>
    </row>
    <row r="103" spans="1:6" x14ac:dyDescent="0.2">
      <c r="A103" s="9">
        <v>2023</v>
      </c>
      <c r="B103" s="7">
        <v>11000</v>
      </c>
      <c r="C103" s="8">
        <v>77.900000000000006</v>
      </c>
      <c r="D103" s="7">
        <v>8000</v>
      </c>
      <c r="E103" s="8">
        <v>57.9</v>
      </c>
      <c r="F103" s="7"/>
    </row>
    <row r="104" spans="1:6" x14ac:dyDescent="0.2">
      <c r="A104" s="9"/>
      <c r="B104" s="7"/>
      <c r="C104" s="8"/>
      <c r="D104" s="7"/>
      <c r="E104" s="8"/>
      <c r="F104" s="7"/>
    </row>
    <row r="105" spans="1:6" ht="15.75" x14ac:dyDescent="0.25">
      <c r="A105" s="3" t="s">
        <v>280</v>
      </c>
    </row>
    <row r="106" spans="1:6" ht="31.5" x14ac:dyDescent="0.25">
      <c r="A106" s="5" t="s">
        <v>167</v>
      </c>
      <c r="B106" s="6" t="s">
        <v>168</v>
      </c>
      <c r="C106" s="6" t="s">
        <v>169</v>
      </c>
      <c r="D106" s="6" t="s">
        <v>170</v>
      </c>
      <c r="E106" s="6" t="s">
        <v>171</v>
      </c>
      <c r="F106" s="6" t="s">
        <v>172</v>
      </c>
    </row>
    <row r="107" spans="1:6" x14ac:dyDescent="0.2">
      <c r="A107" s="9">
        <v>2016</v>
      </c>
      <c r="B107" s="7">
        <v>13000</v>
      </c>
      <c r="C107" s="8">
        <v>74.2</v>
      </c>
      <c r="D107" s="7">
        <v>9000</v>
      </c>
      <c r="E107" s="8">
        <v>50</v>
      </c>
      <c r="F107" s="7"/>
    </row>
    <row r="108" spans="1:6" x14ac:dyDescent="0.2">
      <c r="A108" s="9">
        <v>2017</v>
      </c>
      <c r="B108" s="7">
        <v>12000</v>
      </c>
      <c r="C108" s="8">
        <v>64.7</v>
      </c>
      <c r="D108" s="10">
        <v>7000</v>
      </c>
      <c r="E108" s="11">
        <v>38.299999999999997</v>
      </c>
      <c r="F108" s="7" t="s">
        <v>210</v>
      </c>
    </row>
    <row r="109" spans="1:6" x14ac:dyDescent="0.2">
      <c r="A109" s="9">
        <v>2018</v>
      </c>
      <c r="B109" s="7">
        <v>15000</v>
      </c>
      <c r="C109" s="8">
        <v>79.3</v>
      </c>
      <c r="D109" s="7">
        <v>10000</v>
      </c>
      <c r="E109" s="8">
        <v>50.5</v>
      </c>
      <c r="F109" s="7"/>
    </row>
    <row r="110" spans="1:6" x14ac:dyDescent="0.2">
      <c r="A110" s="9">
        <v>2019</v>
      </c>
      <c r="B110" s="7">
        <v>10000</v>
      </c>
      <c r="C110" s="8">
        <v>77.400000000000006</v>
      </c>
      <c r="D110" s="7">
        <v>8000</v>
      </c>
      <c r="E110" s="8">
        <v>61.3</v>
      </c>
      <c r="F110" s="7"/>
    </row>
    <row r="111" spans="1:6" x14ac:dyDescent="0.2">
      <c r="A111" s="9">
        <v>2020</v>
      </c>
      <c r="B111" s="7">
        <v>9000</v>
      </c>
      <c r="C111" s="8">
        <v>80.400000000000006</v>
      </c>
      <c r="D111" s="10">
        <v>6000</v>
      </c>
      <c r="E111" s="11">
        <v>49.2</v>
      </c>
      <c r="F111" s="7" t="s">
        <v>210</v>
      </c>
    </row>
    <row r="112" spans="1:6" x14ac:dyDescent="0.2">
      <c r="A112" s="9">
        <v>2021</v>
      </c>
      <c r="B112" s="7">
        <v>9000</v>
      </c>
      <c r="C112" s="8">
        <v>71.400000000000006</v>
      </c>
      <c r="D112" s="10">
        <v>6000</v>
      </c>
      <c r="E112" s="11">
        <v>48.5</v>
      </c>
      <c r="F112" s="7" t="s">
        <v>210</v>
      </c>
    </row>
    <row r="113" spans="1:6" x14ac:dyDescent="0.2">
      <c r="A113" s="9">
        <v>2022</v>
      </c>
      <c r="B113" s="7">
        <v>12000</v>
      </c>
      <c r="C113" s="8">
        <v>82.3</v>
      </c>
      <c r="D113" s="7">
        <v>7000</v>
      </c>
      <c r="E113" s="8">
        <v>45.9</v>
      </c>
      <c r="F113" s="7"/>
    </row>
    <row r="114" spans="1:6" x14ac:dyDescent="0.2">
      <c r="A114" s="9">
        <v>2023</v>
      </c>
      <c r="B114" s="7">
        <v>13000</v>
      </c>
      <c r="C114" s="8">
        <v>82.5</v>
      </c>
      <c r="D114" s="7">
        <v>8000</v>
      </c>
      <c r="E114" s="8">
        <v>51.3</v>
      </c>
      <c r="F114" s="7"/>
    </row>
    <row r="115" spans="1:6" x14ac:dyDescent="0.2">
      <c r="A115" s="9"/>
      <c r="B115" s="7"/>
      <c r="C115" s="8"/>
      <c r="D115" s="7"/>
      <c r="E115" s="8"/>
      <c r="F115" s="7"/>
    </row>
    <row r="116" spans="1:6" ht="15.75" x14ac:dyDescent="0.25">
      <c r="A116" s="3" t="s">
        <v>289</v>
      </c>
    </row>
    <row r="117" spans="1:6" ht="31.5" x14ac:dyDescent="0.25">
      <c r="A117" s="5" t="s">
        <v>167</v>
      </c>
      <c r="B117" s="6" t="s">
        <v>168</v>
      </c>
      <c r="C117" s="6" t="s">
        <v>169</v>
      </c>
      <c r="D117" s="6" t="s">
        <v>170</v>
      </c>
      <c r="E117" s="6" t="s">
        <v>171</v>
      </c>
      <c r="F117" s="6" t="s">
        <v>172</v>
      </c>
    </row>
    <row r="118" spans="1:6" x14ac:dyDescent="0.2">
      <c r="A118" s="9">
        <v>2016</v>
      </c>
      <c r="B118" s="7">
        <v>14000</v>
      </c>
      <c r="C118" s="8">
        <v>83.4</v>
      </c>
      <c r="D118" s="7">
        <v>6000</v>
      </c>
      <c r="E118" s="8">
        <v>38.799999999999997</v>
      </c>
      <c r="F118" s="7"/>
    </row>
    <row r="119" spans="1:6" x14ac:dyDescent="0.2">
      <c r="A119" s="9">
        <v>2017</v>
      </c>
      <c r="B119" s="7">
        <v>10000</v>
      </c>
      <c r="C119" s="8">
        <v>76</v>
      </c>
      <c r="D119" s="10">
        <v>6000</v>
      </c>
      <c r="E119" s="11">
        <v>42.2</v>
      </c>
      <c r="F119" s="7" t="s">
        <v>210</v>
      </c>
    </row>
    <row r="120" spans="1:6" x14ac:dyDescent="0.2">
      <c r="A120" s="9">
        <v>2018</v>
      </c>
      <c r="B120" s="7">
        <v>10000</v>
      </c>
      <c r="C120" s="8">
        <v>73.099999999999994</v>
      </c>
      <c r="D120" s="10">
        <v>6000</v>
      </c>
      <c r="E120" s="11">
        <v>42.3</v>
      </c>
      <c r="F120" s="7" t="s">
        <v>210</v>
      </c>
    </row>
    <row r="121" spans="1:6" x14ac:dyDescent="0.2">
      <c r="A121" s="9">
        <v>2019</v>
      </c>
      <c r="B121" s="7">
        <v>15000</v>
      </c>
      <c r="C121" s="8">
        <v>83.3</v>
      </c>
      <c r="D121" s="7">
        <v>9000</v>
      </c>
      <c r="E121" s="8">
        <v>52.1</v>
      </c>
      <c r="F121" s="7"/>
    </row>
    <row r="122" spans="1:6" x14ac:dyDescent="0.2">
      <c r="A122" s="9">
        <v>2020</v>
      </c>
      <c r="B122" s="7">
        <v>16000</v>
      </c>
      <c r="C122" s="8">
        <v>83.3</v>
      </c>
      <c r="D122" s="10">
        <v>8000</v>
      </c>
      <c r="E122" s="11">
        <v>40.5</v>
      </c>
      <c r="F122" s="7" t="s">
        <v>210</v>
      </c>
    </row>
    <row r="123" spans="1:6" x14ac:dyDescent="0.2">
      <c r="A123" s="9">
        <v>2021</v>
      </c>
      <c r="B123" s="7">
        <v>12000</v>
      </c>
      <c r="C123" s="8">
        <v>75.599999999999994</v>
      </c>
      <c r="D123" s="7">
        <v>8000</v>
      </c>
      <c r="E123" s="8">
        <v>50</v>
      </c>
      <c r="F123" s="7"/>
    </row>
    <row r="124" spans="1:6" x14ac:dyDescent="0.2">
      <c r="A124" s="9">
        <v>2022</v>
      </c>
      <c r="B124" s="7">
        <v>16000</v>
      </c>
      <c r="C124" s="8">
        <v>80.400000000000006</v>
      </c>
      <c r="D124" s="7">
        <v>10000</v>
      </c>
      <c r="E124" s="8">
        <v>50.6</v>
      </c>
      <c r="F124" s="7"/>
    </row>
    <row r="125" spans="1:6" x14ac:dyDescent="0.2">
      <c r="A125" s="9">
        <v>2023</v>
      </c>
      <c r="B125" s="7">
        <v>15000</v>
      </c>
      <c r="C125" s="8">
        <v>80.599999999999994</v>
      </c>
      <c r="D125" s="7">
        <v>10000</v>
      </c>
      <c r="E125" s="8">
        <v>50.2</v>
      </c>
      <c r="F125" s="7"/>
    </row>
    <row r="126" spans="1:6" x14ac:dyDescent="0.2">
      <c r="A126" s="9"/>
      <c r="B126" s="7"/>
      <c r="C126" s="8"/>
      <c r="D126" s="7"/>
      <c r="E126" s="8"/>
      <c r="F126" s="7"/>
    </row>
    <row r="127" spans="1:6" ht="15.75" x14ac:dyDescent="0.25">
      <c r="A127" s="3" t="s">
        <v>217</v>
      </c>
    </row>
    <row r="128" spans="1:6" ht="31.5" x14ac:dyDescent="0.25">
      <c r="A128" s="5" t="s">
        <v>167</v>
      </c>
      <c r="B128" s="6" t="s">
        <v>168</v>
      </c>
      <c r="C128" s="6" t="s">
        <v>169</v>
      </c>
      <c r="D128" s="6" t="s">
        <v>170</v>
      </c>
      <c r="E128" s="6" t="s">
        <v>171</v>
      </c>
      <c r="F128" s="6" t="s">
        <v>172</v>
      </c>
    </row>
    <row r="129" spans="1:6" x14ac:dyDescent="0.2">
      <c r="A129" s="9">
        <v>2016</v>
      </c>
      <c r="B129" s="7">
        <v>12000</v>
      </c>
      <c r="C129" s="8">
        <v>76</v>
      </c>
      <c r="D129" s="10">
        <v>8000</v>
      </c>
      <c r="E129" s="11">
        <v>47.2</v>
      </c>
      <c r="F129" s="7" t="s">
        <v>210</v>
      </c>
    </row>
    <row r="130" spans="1:6" x14ac:dyDescent="0.2">
      <c r="A130" s="9">
        <v>2017</v>
      </c>
      <c r="B130" s="7">
        <v>14000</v>
      </c>
      <c r="C130" s="8">
        <v>77.599999999999994</v>
      </c>
      <c r="D130" s="10">
        <v>7000</v>
      </c>
      <c r="E130" s="11">
        <v>38.799999999999997</v>
      </c>
      <c r="F130" s="7" t="s">
        <v>210</v>
      </c>
    </row>
    <row r="131" spans="1:6" x14ac:dyDescent="0.2">
      <c r="A131" s="9">
        <v>2018</v>
      </c>
      <c r="B131" s="7">
        <v>14000</v>
      </c>
      <c r="C131" s="8">
        <v>71.7</v>
      </c>
      <c r="D131" s="7">
        <v>8000</v>
      </c>
      <c r="E131" s="8">
        <v>43.5</v>
      </c>
      <c r="F131" s="7"/>
    </row>
    <row r="132" spans="1:6" x14ac:dyDescent="0.2">
      <c r="A132" s="9">
        <v>2019</v>
      </c>
      <c r="B132" s="7">
        <v>15000</v>
      </c>
      <c r="C132" s="8">
        <v>74.3</v>
      </c>
      <c r="D132" s="7">
        <v>8000</v>
      </c>
      <c r="E132" s="8">
        <v>41.1</v>
      </c>
      <c r="F132" s="7"/>
    </row>
    <row r="133" spans="1:6" x14ac:dyDescent="0.2">
      <c r="A133" s="9">
        <v>2020</v>
      </c>
      <c r="B133" s="7">
        <v>13000</v>
      </c>
      <c r="C133" s="8">
        <v>79.900000000000006</v>
      </c>
      <c r="D133" s="10">
        <v>6000</v>
      </c>
      <c r="E133" s="11">
        <v>38.4</v>
      </c>
      <c r="F133" s="7" t="s">
        <v>210</v>
      </c>
    </row>
    <row r="134" spans="1:6" x14ac:dyDescent="0.2">
      <c r="A134" s="9">
        <v>2021</v>
      </c>
      <c r="B134" s="7">
        <v>19000</v>
      </c>
      <c r="C134" s="8">
        <v>78.2</v>
      </c>
      <c r="D134" s="7">
        <v>12000</v>
      </c>
      <c r="E134" s="8">
        <v>49.7</v>
      </c>
      <c r="F134" s="7"/>
    </row>
    <row r="135" spans="1:6" x14ac:dyDescent="0.2">
      <c r="A135" s="9">
        <v>2022</v>
      </c>
      <c r="B135" s="7">
        <v>11000</v>
      </c>
      <c r="C135" s="8">
        <v>74.3</v>
      </c>
      <c r="D135" s="7">
        <v>7000</v>
      </c>
      <c r="E135" s="8">
        <v>49.8</v>
      </c>
      <c r="F135" s="7"/>
    </row>
    <row r="136" spans="1:6" x14ac:dyDescent="0.2">
      <c r="A136" s="9">
        <v>2023</v>
      </c>
      <c r="B136" s="7">
        <v>16000</v>
      </c>
      <c r="C136" s="8">
        <v>84.8</v>
      </c>
      <c r="D136" s="7">
        <v>11000</v>
      </c>
      <c r="E136" s="8">
        <v>56.2</v>
      </c>
      <c r="F136" s="7"/>
    </row>
    <row r="137" spans="1:6" x14ac:dyDescent="0.2">
      <c r="A137" s="9"/>
      <c r="B137" s="7"/>
      <c r="C137" s="8"/>
      <c r="D137" s="7"/>
      <c r="E137" s="8"/>
      <c r="F137" s="7"/>
    </row>
  </sheetData>
  <pageMargins left="0.7" right="0.7" top="0.75" bottom="0.75" header="0.3" footer="0.3"/>
  <pageSetup paperSize="9" orientation="portrait" horizontalDpi="300" verticalDpi="300"/>
  <tableParts count="12">
    <tablePart r:id="rId1"/>
    <tablePart r:id="rId2"/>
    <tablePart r:id="rId3"/>
    <tablePart r:id="rId4"/>
    <tablePart r:id="rId5"/>
    <tablePart r:id="rId6"/>
    <tablePart r:id="rId7"/>
    <tablePart r:id="rId8"/>
    <tablePart r:id="rId9"/>
    <tablePart r:id="rId10"/>
    <tablePart r:id="rId11"/>
    <tablePart r:id="rId1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7"/>
  <sheetViews>
    <sheetView workbookViewId="0"/>
  </sheetViews>
  <sheetFormatPr defaultColWidth="10.88671875" defaultRowHeight="15" x14ac:dyDescent="0.2"/>
  <cols>
    <col min="1" max="5" width="18.77734375" customWidth="1"/>
    <col min="6" max="6" width="50.77734375" customWidth="1"/>
  </cols>
  <sheetData>
    <row r="1" spans="1:6" ht="19.5" x14ac:dyDescent="0.3">
      <c r="A1" s="2" t="s">
        <v>218</v>
      </c>
    </row>
    <row r="2" spans="1:6" x14ac:dyDescent="0.2">
      <c r="A2" t="s">
        <v>162</v>
      </c>
    </row>
    <row r="3" spans="1:6" x14ac:dyDescent="0.2">
      <c r="A3" t="s">
        <v>163</v>
      </c>
    </row>
    <row r="4" spans="1:6" x14ac:dyDescent="0.2">
      <c r="A4" t="s">
        <v>164</v>
      </c>
    </row>
    <row r="5" spans="1:6" x14ac:dyDescent="0.2">
      <c r="A5" t="s">
        <v>165</v>
      </c>
    </row>
    <row r="6" spans="1:6" ht="15.75" x14ac:dyDescent="0.25">
      <c r="A6" s="3" t="s">
        <v>219</v>
      </c>
    </row>
    <row r="7" spans="1:6" ht="31.5" x14ac:dyDescent="0.25">
      <c r="A7" s="5" t="s">
        <v>167</v>
      </c>
      <c r="B7" s="6" t="s">
        <v>168</v>
      </c>
      <c r="C7" s="6" t="s">
        <v>169</v>
      </c>
      <c r="D7" s="6" t="s">
        <v>170</v>
      </c>
      <c r="E7" s="6" t="s">
        <v>171</v>
      </c>
      <c r="F7" s="6" t="s">
        <v>172</v>
      </c>
    </row>
    <row r="8" spans="1:6" x14ac:dyDescent="0.2">
      <c r="A8" s="9">
        <v>2016</v>
      </c>
      <c r="B8" s="7">
        <v>189000</v>
      </c>
      <c r="C8" s="8">
        <v>80.099999999999994</v>
      </c>
      <c r="D8" s="7">
        <v>139000</v>
      </c>
      <c r="E8" s="8">
        <v>59.1</v>
      </c>
      <c r="F8" s="7"/>
    </row>
    <row r="9" spans="1:6" x14ac:dyDescent="0.2">
      <c r="A9" s="9">
        <v>2017</v>
      </c>
      <c r="B9" s="7">
        <v>181000</v>
      </c>
      <c r="C9" s="8">
        <v>78</v>
      </c>
      <c r="D9" s="7">
        <v>142000</v>
      </c>
      <c r="E9" s="8">
        <v>60.9</v>
      </c>
      <c r="F9" s="7"/>
    </row>
    <row r="10" spans="1:6" x14ac:dyDescent="0.2">
      <c r="A10" s="9">
        <v>2018</v>
      </c>
      <c r="B10" s="7">
        <v>190000</v>
      </c>
      <c r="C10" s="8">
        <v>81.2</v>
      </c>
      <c r="D10" s="7">
        <v>147000</v>
      </c>
      <c r="E10" s="8">
        <v>63.1</v>
      </c>
      <c r="F10" s="7"/>
    </row>
    <row r="11" spans="1:6" x14ac:dyDescent="0.2">
      <c r="A11" s="9">
        <v>2019</v>
      </c>
      <c r="B11" s="7">
        <v>193000</v>
      </c>
      <c r="C11" s="8">
        <v>82.9</v>
      </c>
      <c r="D11" s="7">
        <v>154000</v>
      </c>
      <c r="E11" s="8">
        <v>66.3</v>
      </c>
      <c r="F11" s="7"/>
    </row>
    <row r="12" spans="1:6" x14ac:dyDescent="0.2">
      <c r="A12" s="9">
        <v>2020</v>
      </c>
      <c r="B12" s="7">
        <v>202000</v>
      </c>
      <c r="C12" s="8">
        <v>86.4</v>
      </c>
      <c r="D12" s="7">
        <v>169000</v>
      </c>
      <c r="E12" s="8">
        <v>72.5</v>
      </c>
      <c r="F12" s="7"/>
    </row>
    <row r="13" spans="1:6" x14ac:dyDescent="0.2">
      <c r="A13" s="9">
        <v>2021</v>
      </c>
      <c r="B13" s="7">
        <v>195000</v>
      </c>
      <c r="C13" s="8">
        <v>85.1</v>
      </c>
      <c r="D13" s="7">
        <v>159000</v>
      </c>
      <c r="E13" s="8">
        <v>69.5</v>
      </c>
      <c r="F13" s="7"/>
    </row>
    <row r="14" spans="1:6" x14ac:dyDescent="0.2">
      <c r="A14" s="9">
        <v>2022</v>
      </c>
      <c r="B14" s="7">
        <v>185000</v>
      </c>
      <c r="C14" s="8">
        <v>83.7</v>
      </c>
      <c r="D14" s="7">
        <v>151000</v>
      </c>
      <c r="E14" s="8">
        <v>68.400000000000006</v>
      </c>
      <c r="F14" s="7"/>
    </row>
    <row r="15" spans="1:6" x14ac:dyDescent="0.2">
      <c r="A15" s="9">
        <v>2023</v>
      </c>
      <c r="B15" s="7">
        <v>189000</v>
      </c>
      <c r="C15" s="8">
        <v>84.1</v>
      </c>
      <c r="D15" s="7">
        <v>159000</v>
      </c>
      <c r="E15" s="8">
        <v>70.599999999999994</v>
      </c>
      <c r="F15" s="7"/>
    </row>
    <row r="16" spans="1:6" x14ac:dyDescent="0.2">
      <c r="A16" s="9"/>
      <c r="B16" s="7"/>
      <c r="C16" s="8"/>
      <c r="D16" s="7"/>
      <c r="E16" s="8"/>
      <c r="F16" s="7"/>
    </row>
    <row r="17" spans="1:6" ht="15.75" x14ac:dyDescent="0.25">
      <c r="A17" s="3" t="s">
        <v>220</v>
      </c>
    </row>
    <row r="18" spans="1:6" ht="31.5" x14ac:dyDescent="0.25">
      <c r="A18" s="5" t="s">
        <v>167</v>
      </c>
      <c r="B18" s="6" t="s">
        <v>168</v>
      </c>
      <c r="C18" s="6" t="s">
        <v>169</v>
      </c>
      <c r="D18" s="6" t="s">
        <v>170</v>
      </c>
      <c r="E18" s="6" t="s">
        <v>171</v>
      </c>
      <c r="F18" s="6" t="s">
        <v>172</v>
      </c>
    </row>
    <row r="19" spans="1:6" x14ac:dyDescent="0.2">
      <c r="A19" s="9">
        <v>2016</v>
      </c>
      <c r="B19" s="7">
        <v>16000</v>
      </c>
      <c r="C19" s="8">
        <v>81.3</v>
      </c>
      <c r="D19" s="7">
        <v>11000</v>
      </c>
      <c r="E19" s="8">
        <v>58.7</v>
      </c>
      <c r="F19" s="7"/>
    </row>
    <row r="20" spans="1:6" x14ac:dyDescent="0.2">
      <c r="A20" s="9">
        <v>2017</v>
      </c>
      <c r="B20" s="7">
        <v>16000</v>
      </c>
      <c r="C20" s="8">
        <v>81.3</v>
      </c>
      <c r="D20" s="7">
        <v>11000</v>
      </c>
      <c r="E20" s="8">
        <v>57.2</v>
      </c>
      <c r="F20" s="7"/>
    </row>
    <row r="21" spans="1:6" x14ac:dyDescent="0.2">
      <c r="A21" s="9">
        <v>2018</v>
      </c>
      <c r="B21" s="7">
        <v>15000</v>
      </c>
      <c r="C21" s="8">
        <v>93.4</v>
      </c>
      <c r="D21" s="7">
        <v>11000</v>
      </c>
      <c r="E21" s="8">
        <v>72.3</v>
      </c>
      <c r="F21" s="7"/>
    </row>
    <row r="22" spans="1:6" x14ac:dyDescent="0.2">
      <c r="A22" s="9">
        <v>2019</v>
      </c>
      <c r="B22" s="7">
        <v>16000</v>
      </c>
      <c r="C22" s="8">
        <v>81.599999999999994</v>
      </c>
      <c r="D22" s="7">
        <v>13000</v>
      </c>
      <c r="E22" s="8">
        <v>67</v>
      </c>
      <c r="F22" s="7"/>
    </row>
    <row r="23" spans="1:6" x14ac:dyDescent="0.2">
      <c r="A23" s="9">
        <v>2020</v>
      </c>
      <c r="B23" s="7">
        <v>16000</v>
      </c>
      <c r="C23" s="8">
        <v>83</v>
      </c>
      <c r="D23" s="7">
        <v>14000</v>
      </c>
      <c r="E23" s="8">
        <v>75.2</v>
      </c>
      <c r="F23" s="7"/>
    </row>
    <row r="24" spans="1:6" x14ac:dyDescent="0.2">
      <c r="A24" s="9">
        <v>2021</v>
      </c>
      <c r="B24" s="7">
        <v>17000</v>
      </c>
      <c r="C24" s="8">
        <v>90.9</v>
      </c>
      <c r="D24" s="7">
        <v>13000</v>
      </c>
      <c r="E24" s="8">
        <v>69</v>
      </c>
      <c r="F24" s="7"/>
    </row>
    <row r="25" spans="1:6" x14ac:dyDescent="0.2">
      <c r="A25" s="9">
        <v>2022</v>
      </c>
      <c r="B25" s="7">
        <v>17000</v>
      </c>
      <c r="C25" s="8">
        <v>85.6</v>
      </c>
      <c r="D25" s="7">
        <v>13000</v>
      </c>
      <c r="E25" s="8">
        <v>66.3</v>
      </c>
      <c r="F25" s="7"/>
    </row>
    <row r="26" spans="1:6" x14ac:dyDescent="0.2">
      <c r="A26" s="9">
        <v>2023</v>
      </c>
      <c r="B26" s="7">
        <v>15000</v>
      </c>
      <c r="C26" s="8">
        <v>83.9</v>
      </c>
      <c r="D26" s="7">
        <v>13000</v>
      </c>
      <c r="E26" s="8">
        <v>70.2</v>
      </c>
      <c r="F26" s="7"/>
    </row>
    <row r="27" spans="1:6" x14ac:dyDescent="0.2">
      <c r="A27" s="9"/>
      <c r="B27" s="7"/>
      <c r="C27" s="8"/>
      <c r="D27" s="7"/>
      <c r="E27" s="8"/>
      <c r="F27" s="7"/>
    </row>
    <row r="28" spans="1:6" ht="15.75" x14ac:dyDescent="0.25">
      <c r="A28" s="3" t="s">
        <v>221</v>
      </c>
    </row>
    <row r="29" spans="1:6" ht="31.5" x14ac:dyDescent="0.25">
      <c r="A29" s="5" t="s">
        <v>167</v>
      </c>
      <c r="B29" s="6" t="s">
        <v>168</v>
      </c>
      <c r="C29" s="6" t="s">
        <v>169</v>
      </c>
      <c r="D29" s="6" t="s">
        <v>170</v>
      </c>
      <c r="E29" s="6" t="s">
        <v>171</v>
      </c>
      <c r="F29" s="6" t="s">
        <v>172</v>
      </c>
    </row>
    <row r="30" spans="1:6" x14ac:dyDescent="0.2">
      <c r="A30" s="9">
        <v>2016</v>
      </c>
      <c r="B30" s="7">
        <v>14000</v>
      </c>
      <c r="C30" s="8">
        <v>80.8</v>
      </c>
      <c r="D30" s="10">
        <v>10000</v>
      </c>
      <c r="E30" s="11">
        <v>57.7</v>
      </c>
      <c r="F30" s="7" t="s">
        <v>210</v>
      </c>
    </row>
    <row r="31" spans="1:6" x14ac:dyDescent="0.2">
      <c r="A31" s="9">
        <v>2017</v>
      </c>
      <c r="B31" s="7">
        <v>14000</v>
      </c>
      <c r="C31" s="8">
        <v>84.6</v>
      </c>
      <c r="D31" s="7">
        <v>11000</v>
      </c>
      <c r="E31" s="8">
        <v>66.8</v>
      </c>
      <c r="F31" s="7"/>
    </row>
    <row r="32" spans="1:6" x14ac:dyDescent="0.2">
      <c r="A32" s="9">
        <v>2018</v>
      </c>
      <c r="B32" s="7">
        <v>15000</v>
      </c>
      <c r="C32" s="8">
        <v>87.8</v>
      </c>
      <c r="D32" s="7">
        <v>12000</v>
      </c>
      <c r="E32" s="8">
        <v>71</v>
      </c>
      <c r="F32" s="7"/>
    </row>
    <row r="33" spans="1:6" x14ac:dyDescent="0.2">
      <c r="A33" s="9">
        <v>2019</v>
      </c>
      <c r="B33" s="7">
        <v>16000</v>
      </c>
      <c r="C33" s="8">
        <v>88.1</v>
      </c>
      <c r="D33" s="7">
        <v>13000</v>
      </c>
      <c r="E33" s="8">
        <v>69.900000000000006</v>
      </c>
      <c r="F33" s="7"/>
    </row>
    <row r="34" spans="1:6" x14ac:dyDescent="0.2">
      <c r="A34" s="9">
        <v>2020</v>
      </c>
      <c r="B34" s="7">
        <v>19000</v>
      </c>
      <c r="C34" s="8">
        <v>92.3</v>
      </c>
      <c r="D34" s="7">
        <v>14000</v>
      </c>
      <c r="E34" s="8">
        <v>66.7</v>
      </c>
      <c r="F34" s="7"/>
    </row>
    <row r="35" spans="1:6" x14ac:dyDescent="0.2">
      <c r="A35" s="9">
        <v>2021</v>
      </c>
      <c r="B35" s="7">
        <v>17000</v>
      </c>
      <c r="C35" s="8">
        <v>82.5</v>
      </c>
      <c r="D35" s="7">
        <v>12000</v>
      </c>
      <c r="E35" s="8">
        <v>58.2</v>
      </c>
      <c r="F35" s="7"/>
    </row>
    <row r="36" spans="1:6" x14ac:dyDescent="0.2">
      <c r="A36" s="9">
        <v>2022</v>
      </c>
      <c r="B36" s="7">
        <v>13000</v>
      </c>
      <c r="C36" s="8">
        <v>80.8</v>
      </c>
      <c r="D36" s="7">
        <v>11000</v>
      </c>
      <c r="E36" s="8">
        <v>66.400000000000006</v>
      </c>
      <c r="F36" s="7"/>
    </row>
    <row r="37" spans="1:6" x14ac:dyDescent="0.2">
      <c r="A37" s="9">
        <v>2023</v>
      </c>
      <c r="B37" s="7">
        <v>13000</v>
      </c>
      <c r="C37" s="8">
        <v>90.4</v>
      </c>
      <c r="D37" s="7">
        <v>12000</v>
      </c>
      <c r="E37" s="8">
        <v>82.9</v>
      </c>
      <c r="F37" s="7"/>
    </row>
    <row r="38" spans="1:6" x14ac:dyDescent="0.2">
      <c r="A38" s="9"/>
      <c r="B38" s="7"/>
      <c r="C38" s="8"/>
      <c r="D38" s="7"/>
      <c r="E38" s="8"/>
      <c r="F38" s="7"/>
    </row>
    <row r="39" spans="1:6" ht="15.75" x14ac:dyDescent="0.25">
      <c r="A39" s="3" t="s">
        <v>222</v>
      </c>
    </row>
    <row r="40" spans="1:6" ht="31.5" x14ac:dyDescent="0.25">
      <c r="A40" s="5" t="s">
        <v>167</v>
      </c>
      <c r="B40" s="6" t="s">
        <v>168</v>
      </c>
      <c r="C40" s="6" t="s">
        <v>169</v>
      </c>
      <c r="D40" s="6" t="s">
        <v>170</v>
      </c>
      <c r="E40" s="6" t="s">
        <v>171</v>
      </c>
      <c r="F40" s="6" t="s">
        <v>172</v>
      </c>
    </row>
    <row r="41" spans="1:6" x14ac:dyDescent="0.2">
      <c r="A41" s="9">
        <v>2016</v>
      </c>
      <c r="B41" s="7">
        <v>20000</v>
      </c>
      <c r="C41" s="8">
        <v>74</v>
      </c>
      <c r="D41" s="7">
        <v>14000</v>
      </c>
      <c r="E41" s="8">
        <v>52.4</v>
      </c>
      <c r="F41" s="7"/>
    </row>
    <row r="42" spans="1:6" x14ac:dyDescent="0.2">
      <c r="A42" s="9">
        <v>2017</v>
      </c>
      <c r="B42" s="7">
        <v>23000</v>
      </c>
      <c r="C42" s="8">
        <v>82.5</v>
      </c>
      <c r="D42" s="7">
        <v>17000</v>
      </c>
      <c r="E42" s="8">
        <v>58.9</v>
      </c>
      <c r="F42" s="7"/>
    </row>
    <row r="43" spans="1:6" x14ac:dyDescent="0.2">
      <c r="A43" s="9">
        <v>2018</v>
      </c>
      <c r="B43" s="7">
        <v>23000</v>
      </c>
      <c r="C43" s="8">
        <v>80.2</v>
      </c>
      <c r="D43" s="7">
        <v>16000</v>
      </c>
      <c r="E43" s="8">
        <v>55.7</v>
      </c>
      <c r="F43" s="7"/>
    </row>
    <row r="44" spans="1:6" x14ac:dyDescent="0.2">
      <c r="A44" s="9">
        <v>2019</v>
      </c>
      <c r="B44" s="7">
        <v>23000</v>
      </c>
      <c r="C44" s="8">
        <v>81.900000000000006</v>
      </c>
      <c r="D44" s="7">
        <v>18000</v>
      </c>
      <c r="E44" s="8">
        <v>61.9</v>
      </c>
      <c r="F44" s="7"/>
    </row>
    <row r="45" spans="1:6" x14ac:dyDescent="0.2">
      <c r="A45" s="9">
        <v>2020</v>
      </c>
      <c r="B45" s="7">
        <v>23000</v>
      </c>
      <c r="C45" s="8">
        <v>83.8</v>
      </c>
      <c r="D45" s="7">
        <v>19000</v>
      </c>
      <c r="E45" s="8">
        <v>69.8</v>
      </c>
      <c r="F45" s="7"/>
    </row>
    <row r="46" spans="1:6" x14ac:dyDescent="0.2">
      <c r="A46" s="9">
        <v>2021</v>
      </c>
      <c r="B46" s="7">
        <v>18000</v>
      </c>
      <c r="C46" s="8">
        <v>80.099999999999994</v>
      </c>
      <c r="D46" s="7">
        <v>15000</v>
      </c>
      <c r="E46" s="8">
        <v>66.3</v>
      </c>
      <c r="F46" s="7"/>
    </row>
    <row r="47" spans="1:6" x14ac:dyDescent="0.2">
      <c r="A47" s="9">
        <v>2022</v>
      </c>
      <c r="B47" s="7">
        <v>23000</v>
      </c>
      <c r="C47" s="8">
        <v>88.7</v>
      </c>
      <c r="D47" s="7">
        <v>18000</v>
      </c>
      <c r="E47" s="8">
        <v>68.400000000000006</v>
      </c>
      <c r="F47" s="7"/>
    </row>
    <row r="48" spans="1:6" x14ac:dyDescent="0.2">
      <c r="A48" s="9">
        <v>2023</v>
      </c>
      <c r="B48" s="7">
        <v>25000</v>
      </c>
      <c r="C48" s="8">
        <v>83.4</v>
      </c>
      <c r="D48" s="7">
        <v>21000</v>
      </c>
      <c r="E48" s="8">
        <v>67.900000000000006</v>
      </c>
      <c r="F48" s="7"/>
    </row>
    <row r="49" spans="1:6" x14ac:dyDescent="0.2">
      <c r="A49" s="9"/>
      <c r="B49" s="7"/>
      <c r="C49" s="8"/>
      <c r="D49" s="7"/>
      <c r="E49" s="8"/>
      <c r="F49" s="7"/>
    </row>
    <row r="50" spans="1:6" ht="15.75" x14ac:dyDescent="0.25">
      <c r="A50" s="3" t="s">
        <v>223</v>
      </c>
    </row>
    <row r="51" spans="1:6" ht="31.5" x14ac:dyDescent="0.25">
      <c r="A51" s="5" t="s">
        <v>167</v>
      </c>
      <c r="B51" s="6" t="s">
        <v>168</v>
      </c>
      <c r="C51" s="6" t="s">
        <v>169</v>
      </c>
      <c r="D51" s="6" t="s">
        <v>170</v>
      </c>
      <c r="E51" s="6" t="s">
        <v>171</v>
      </c>
      <c r="F51" s="6" t="s">
        <v>172</v>
      </c>
    </row>
    <row r="52" spans="1:6" x14ac:dyDescent="0.2">
      <c r="A52" s="9">
        <v>2016</v>
      </c>
      <c r="B52" s="7">
        <v>45000</v>
      </c>
      <c r="C52" s="8">
        <v>83.7</v>
      </c>
      <c r="D52" s="7">
        <v>35000</v>
      </c>
      <c r="E52" s="8">
        <v>66.099999999999994</v>
      </c>
      <c r="F52" s="7"/>
    </row>
    <row r="53" spans="1:6" x14ac:dyDescent="0.2">
      <c r="A53" s="9">
        <v>2017</v>
      </c>
      <c r="B53" s="7">
        <v>37000</v>
      </c>
      <c r="C53" s="8">
        <v>73.3</v>
      </c>
      <c r="D53" s="7">
        <v>32000</v>
      </c>
      <c r="E53" s="8">
        <v>64.400000000000006</v>
      </c>
      <c r="F53" s="7"/>
    </row>
    <row r="54" spans="1:6" x14ac:dyDescent="0.2">
      <c r="A54" s="9">
        <v>2018</v>
      </c>
      <c r="B54" s="7">
        <v>41000</v>
      </c>
      <c r="C54" s="8">
        <v>78.400000000000006</v>
      </c>
      <c r="D54" s="7">
        <v>35000</v>
      </c>
      <c r="E54" s="8">
        <v>67.2</v>
      </c>
      <c r="F54" s="7"/>
    </row>
    <row r="55" spans="1:6" x14ac:dyDescent="0.2">
      <c r="A55" s="9">
        <v>2019</v>
      </c>
      <c r="B55" s="7">
        <v>36000</v>
      </c>
      <c r="C55" s="8">
        <v>77.099999999999994</v>
      </c>
      <c r="D55" s="7">
        <v>29000</v>
      </c>
      <c r="E55" s="8">
        <v>62.6</v>
      </c>
      <c r="F55" s="7"/>
    </row>
    <row r="56" spans="1:6" x14ac:dyDescent="0.2">
      <c r="A56" s="9">
        <v>2020</v>
      </c>
      <c r="B56" s="7">
        <v>46000</v>
      </c>
      <c r="C56" s="8">
        <v>85.7</v>
      </c>
      <c r="D56" s="7">
        <v>39000</v>
      </c>
      <c r="E56" s="8">
        <v>71.8</v>
      </c>
      <c r="F56" s="7"/>
    </row>
    <row r="57" spans="1:6" x14ac:dyDescent="0.2">
      <c r="A57" s="9">
        <v>2021</v>
      </c>
      <c r="B57" s="7">
        <v>47000</v>
      </c>
      <c r="C57" s="8">
        <v>79.7</v>
      </c>
      <c r="D57" s="7">
        <v>41000</v>
      </c>
      <c r="E57" s="8">
        <v>68.8</v>
      </c>
      <c r="F57" s="7"/>
    </row>
    <row r="58" spans="1:6" x14ac:dyDescent="0.2">
      <c r="A58" s="9">
        <v>2022</v>
      </c>
      <c r="B58" s="7">
        <v>37000</v>
      </c>
      <c r="C58" s="8">
        <v>81.3</v>
      </c>
      <c r="D58" s="7">
        <v>32000</v>
      </c>
      <c r="E58" s="8">
        <v>68.7</v>
      </c>
      <c r="F58" s="7"/>
    </row>
    <row r="59" spans="1:6" x14ac:dyDescent="0.2">
      <c r="A59" s="9">
        <v>2023</v>
      </c>
      <c r="B59" s="7">
        <v>40000</v>
      </c>
      <c r="C59" s="8">
        <v>83.2</v>
      </c>
      <c r="D59" s="7">
        <v>33000</v>
      </c>
      <c r="E59" s="8">
        <v>70.2</v>
      </c>
      <c r="F59" s="7"/>
    </row>
    <row r="60" spans="1:6" x14ac:dyDescent="0.2">
      <c r="A60" s="9"/>
      <c r="B60" s="7"/>
      <c r="C60" s="8"/>
      <c r="D60" s="7"/>
      <c r="E60" s="8"/>
      <c r="F60" s="7"/>
    </row>
    <row r="61" spans="1:6" ht="15.75" x14ac:dyDescent="0.25">
      <c r="A61" s="3" t="s">
        <v>224</v>
      </c>
    </row>
    <row r="62" spans="1:6" ht="31.5" x14ac:dyDescent="0.25">
      <c r="A62" s="5" t="s">
        <v>167</v>
      </c>
      <c r="B62" s="6" t="s">
        <v>168</v>
      </c>
      <c r="C62" s="6" t="s">
        <v>169</v>
      </c>
      <c r="D62" s="6" t="s">
        <v>170</v>
      </c>
      <c r="E62" s="6" t="s">
        <v>171</v>
      </c>
      <c r="F62" s="6" t="s">
        <v>172</v>
      </c>
    </row>
    <row r="63" spans="1:6" x14ac:dyDescent="0.2">
      <c r="A63" s="9">
        <v>2016</v>
      </c>
      <c r="B63" s="7">
        <v>15000</v>
      </c>
      <c r="C63" s="8">
        <v>83.8</v>
      </c>
      <c r="D63" s="7">
        <v>10000</v>
      </c>
      <c r="E63" s="8">
        <v>55.7</v>
      </c>
      <c r="F63" s="7"/>
    </row>
    <row r="64" spans="1:6" x14ac:dyDescent="0.2">
      <c r="A64" s="9">
        <v>2017</v>
      </c>
      <c r="B64" s="7">
        <v>13000</v>
      </c>
      <c r="C64" s="8">
        <v>76.400000000000006</v>
      </c>
      <c r="D64" s="7">
        <v>9000</v>
      </c>
      <c r="E64" s="8">
        <v>53.5</v>
      </c>
      <c r="F64" s="7"/>
    </row>
    <row r="65" spans="1:6" x14ac:dyDescent="0.2">
      <c r="A65" s="9">
        <v>2018</v>
      </c>
      <c r="B65" s="7">
        <v>13000</v>
      </c>
      <c r="C65" s="8">
        <v>80.8</v>
      </c>
      <c r="D65" s="7">
        <v>10000</v>
      </c>
      <c r="E65" s="8">
        <v>64.400000000000006</v>
      </c>
      <c r="F65" s="7"/>
    </row>
    <row r="66" spans="1:6" x14ac:dyDescent="0.2">
      <c r="A66" s="9">
        <v>2019</v>
      </c>
      <c r="B66" s="7">
        <v>12000</v>
      </c>
      <c r="C66" s="8">
        <v>85.3</v>
      </c>
      <c r="D66" s="7">
        <v>10000</v>
      </c>
      <c r="E66" s="8">
        <v>69</v>
      </c>
      <c r="F66" s="7"/>
    </row>
    <row r="67" spans="1:6" x14ac:dyDescent="0.2">
      <c r="A67" s="9">
        <v>2020</v>
      </c>
      <c r="B67" s="7">
        <v>10000</v>
      </c>
      <c r="C67" s="8">
        <v>79.400000000000006</v>
      </c>
      <c r="D67" s="7">
        <v>9000</v>
      </c>
      <c r="E67" s="8">
        <v>70.599999999999994</v>
      </c>
      <c r="F67" s="7"/>
    </row>
    <row r="68" spans="1:6" x14ac:dyDescent="0.2">
      <c r="A68" s="9">
        <v>2021</v>
      </c>
      <c r="B68" s="7">
        <v>12000</v>
      </c>
      <c r="C68" s="8">
        <v>93.5</v>
      </c>
      <c r="D68" s="7">
        <v>10000</v>
      </c>
      <c r="E68" s="8">
        <v>72.7</v>
      </c>
      <c r="F68" s="7"/>
    </row>
    <row r="69" spans="1:6" x14ac:dyDescent="0.2">
      <c r="A69" s="9">
        <v>2022</v>
      </c>
      <c r="B69" s="7">
        <v>10000</v>
      </c>
      <c r="C69" s="8">
        <v>74.3</v>
      </c>
      <c r="D69" s="7">
        <v>8000</v>
      </c>
      <c r="E69" s="8">
        <v>60</v>
      </c>
      <c r="F69" s="7"/>
    </row>
    <row r="70" spans="1:6" x14ac:dyDescent="0.2">
      <c r="A70" s="9">
        <v>2023</v>
      </c>
      <c r="B70" s="7">
        <v>12000</v>
      </c>
      <c r="C70" s="8">
        <v>81.099999999999994</v>
      </c>
      <c r="D70" s="7">
        <v>9000</v>
      </c>
      <c r="E70" s="8">
        <v>58.7</v>
      </c>
      <c r="F70" s="7"/>
    </row>
    <row r="71" spans="1:6" x14ac:dyDescent="0.2">
      <c r="A71" s="9"/>
      <c r="B71" s="7"/>
      <c r="C71" s="8"/>
      <c r="D71" s="7"/>
      <c r="E71" s="8"/>
      <c r="F71" s="7"/>
    </row>
    <row r="72" spans="1:6" ht="15.75" x14ac:dyDescent="0.25">
      <c r="A72" s="3" t="s">
        <v>225</v>
      </c>
    </row>
    <row r="73" spans="1:6" ht="31.5" x14ac:dyDescent="0.25">
      <c r="A73" s="5" t="s">
        <v>167</v>
      </c>
      <c r="B73" s="6" t="s">
        <v>168</v>
      </c>
      <c r="C73" s="6" t="s">
        <v>169</v>
      </c>
      <c r="D73" s="6" t="s">
        <v>170</v>
      </c>
      <c r="E73" s="6" t="s">
        <v>171</v>
      </c>
      <c r="F73" s="6" t="s">
        <v>172</v>
      </c>
    </row>
    <row r="74" spans="1:6" x14ac:dyDescent="0.2">
      <c r="A74" s="9">
        <v>2016</v>
      </c>
      <c r="B74" s="7">
        <v>14000</v>
      </c>
      <c r="C74" s="8">
        <v>72.5</v>
      </c>
      <c r="D74" s="7">
        <v>10000</v>
      </c>
      <c r="E74" s="8">
        <v>51.1</v>
      </c>
      <c r="F74" s="7"/>
    </row>
    <row r="75" spans="1:6" x14ac:dyDescent="0.2">
      <c r="A75" s="9">
        <v>2017</v>
      </c>
      <c r="B75" s="7">
        <v>10000</v>
      </c>
      <c r="C75" s="8">
        <v>68.7</v>
      </c>
      <c r="D75" s="10">
        <v>7000</v>
      </c>
      <c r="E75" s="11">
        <v>52.2</v>
      </c>
      <c r="F75" s="7" t="s">
        <v>210</v>
      </c>
    </row>
    <row r="76" spans="1:6" x14ac:dyDescent="0.2">
      <c r="A76" s="9">
        <v>2018</v>
      </c>
      <c r="B76" s="7">
        <v>14000</v>
      </c>
      <c r="C76" s="8">
        <v>81.099999999999994</v>
      </c>
      <c r="D76" s="7">
        <v>10000</v>
      </c>
      <c r="E76" s="8">
        <v>59.3</v>
      </c>
      <c r="F76" s="7"/>
    </row>
    <row r="77" spans="1:6" x14ac:dyDescent="0.2">
      <c r="A77" s="9">
        <v>2019</v>
      </c>
      <c r="B77" s="7">
        <v>16000</v>
      </c>
      <c r="C77" s="8">
        <v>85</v>
      </c>
      <c r="D77" s="7">
        <v>11000</v>
      </c>
      <c r="E77" s="8">
        <v>60.4</v>
      </c>
      <c r="F77" s="7"/>
    </row>
    <row r="78" spans="1:6" x14ac:dyDescent="0.2">
      <c r="A78" s="9">
        <v>2020</v>
      </c>
      <c r="B78" s="7">
        <v>11000</v>
      </c>
      <c r="C78" s="8">
        <v>88.8</v>
      </c>
      <c r="D78" s="7">
        <v>9000</v>
      </c>
      <c r="E78" s="8">
        <v>73.5</v>
      </c>
      <c r="F78" s="7"/>
    </row>
    <row r="79" spans="1:6" x14ac:dyDescent="0.2">
      <c r="A79" s="9">
        <v>2021</v>
      </c>
      <c r="B79" s="7">
        <v>8000</v>
      </c>
      <c r="C79" s="8">
        <v>85.5</v>
      </c>
      <c r="D79" s="10">
        <v>7000</v>
      </c>
      <c r="E79" s="11">
        <v>74</v>
      </c>
      <c r="F79" s="7" t="s">
        <v>210</v>
      </c>
    </row>
    <row r="80" spans="1:6" x14ac:dyDescent="0.2">
      <c r="A80" s="9">
        <v>2022</v>
      </c>
      <c r="B80" s="7">
        <v>12000</v>
      </c>
      <c r="C80" s="8">
        <v>87.9</v>
      </c>
      <c r="D80" s="7">
        <v>9000</v>
      </c>
      <c r="E80" s="8">
        <v>68.3</v>
      </c>
      <c r="F80" s="7"/>
    </row>
    <row r="81" spans="1:6" x14ac:dyDescent="0.2">
      <c r="A81" s="9">
        <v>2023</v>
      </c>
      <c r="B81" s="7">
        <v>13000</v>
      </c>
      <c r="C81" s="8">
        <v>82.9</v>
      </c>
      <c r="D81" s="7">
        <v>11000</v>
      </c>
      <c r="E81" s="8">
        <v>66.8</v>
      </c>
      <c r="F81" s="7"/>
    </row>
    <row r="82" spans="1:6" x14ac:dyDescent="0.2">
      <c r="A82" s="9"/>
      <c r="B82" s="7"/>
      <c r="C82" s="8"/>
      <c r="D82" s="7"/>
      <c r="E82" s="8"/>
      <c r="F82" s="7"/>
    </row>
    <row r="83" spans="1:6" ht="15.75" x14ac:dyDescent="0.25">
      <c r="A83" s="3" t="s">
        <v>226</v>
      </c>
    </row>
    <row r="84" spans="1:6" ht="31.5" x14ac:dyDescent="0.25">
      <c r="A84" s="5" t="s">
        <v>167</v>
      </c>
      <c r="B84" s="6" t="s">
        <v>168</v>
      </c>
      <c r="C84" s="6" t="s">
        <v>169</v>
      </c>
      <c r="D84" s="6" t="s">
        <v>170</v>
      </c>
      <c r="E84" s="6" t="s">
        <v>171</v>
      </c>
      <c r="F84" s="6" t="s">
        <v>172</v>
      </c>
    </row>
    <row r="85" spans="1:6" x14ac:dyDescent="0.2">
      <c r="A85" s="9">
        <v>2016</v>
      </c>
      <c r="B85" s="7">
        <v>12000</v>
      </c>
      <c r="C85" s="8">
        <v>79.5</v>
      </c>
      <c r="D85" s="7">
        <v>9000</v>
      </c>
      <c r="E85" s="8">
        <v>59.3</v>
      </c>
      <c r="F85" s="7"/>
    </row>
    <row r="86" spans="1:6" x14ac:dyDescent="0.2">
      <c r="A86" s="9">
        <v>2017</v>
      </c>
      <c r="B86" s="7">
        <v>11000</v>
      </c>
      <c r="C86" s="8">
        <v>84.6</v>
      </c>
      <c r="D86" s="7">
        <v>8000</v>
      </c>
      <c r="E86" s="8">
        <v>62.2</v>
      </c>
      <c r="F86" s="7"/>
    </row>
    <row r="87" spans="1:6" x14ac:dyDescent="0.2">
      <c r="A87" s="9">
        <v>2018</v>
      </c>
      <c r="B87" s="7">
        <v>12000</v>
      </c>
      <c r="C87" s="8">
        <v>83.2</v>
      </c>
      <c r="D87" s="7">
        <v>8000</v>
      </c>
      <c r="E87" s="8">
        <v>56.7</v>
      </c>
      <c r="F87" s="7"/>
    </row>
    <row r="88" spans="1:6" x14ac:dyDescent="0.2">
      <c r="A88" s="9">
        <v>2019</v>
      </c>
      <c r="B88" s="7">
        <v>11000</v>
      </c>
      <c r="C88" s="8">
        <v>78.400000000000006</v>
      </c>
      <c r="D88" s="7">
        <v>8000</v>
      </c>
      <c r="E88" s="8">
        <v>58.7</v>
      </c>
      <c r="F88" s="7"/>
    </row>
    <row r="89" spans="1:6" x14ac:dyDescent="0.2">
      <c r="A89" s="9">
        <v>2020</v>
      </c>
      <c r="B89" s="7">
        <v>11000</v>
      </c>
      <c r="C89" s="8">
        <v>79.8</v>
      </c>
      <c r="D89" s="7">
        <v>9000</v>
      </c>
      <c r="E89" s="8">
        <v>62.8</v>
      </c>
      <c r="F89" s="7"/>
    </row>
    <row r="90" spans="1:6" x14ac:dyDescent="0.2">
      <c r="A90" s="9">
        <v>2021</v>
      </c>
      <c r="B90" s="7">
        <v>13000</v>
      </c>
      <c r="C90" s="8">
        <v>82.9</v>
      </c>
      <c r="D90" s="7">
        <v>9000</v>
      </c>
      <c r="E90" s="8">
        <v>60.6</v>
      </c>
      <c r="F90" s="7"/>
    </row>
    <row r="91" spans="1:6" x14ac:dyDescent="0.2">
      <c r="A91" s="9">
        <v>2022</v>
      </c>
      <c r="B91" s="7">
        <v>11000</v>
      </c>
      <c r="C91" s="8">
        <v>78</v>
      </c>
      <c r="D91" s="7">
        <v>9000</v>
      </c>
      <c r="E91" s="8">
        <v>61.6</v>
      </c>
      <c r="F91" s="7"/>
    </row>
    <row r="92" spans="1:6" x14ac:dyDescent="0.2">
      <c r="A92" s="9">
        <v>2023</v>
      </c>
      <c r="B92" s="7">
        <v>11000</v>
      </c>
      <c r="C92" s="8">
        <v>76.099999999999994</v>
      </c>
      <c r="D92" s="7">
        <v>9000</v>
      </c>
      <c r="E92" s="8">
        <v>62</v>
      </c>
      <c r="F92" s="7"/>
    </row>
    <row r="93" spans="1:6" x14ac:dyDescent="0.2">
      <c r="A93" s="9"/>
      <c r="B93" s="7"/>
      <c r="C93" s="8"/>
      <c r="D93" s="7"/>
      <c r="E93" s="8"/>
      <c r="F93" s="7"/>
    </row>
    <row r="94" spans="1:6" ht="15.75" x14ac:dyDescent="0.25">
      <c r="A94" s="3" t="s">
        <v>227</v>
      </c>
    </row>
    <row r="95" spans="1:6" ht="31.5" x14ac:dyDescent="0.25">
      <c r="A95" s="5" t="s">
        <v>167</v>
      </c>
      <c r="B95" s="6" t="s">
        <v>168</v>
      </c>
      <c r="C95" s="6" t="s">
        <v>169</v>
      </c>
      <c r="D95" s="6" t="s">
        <v>170</v>
      </c>
      <c r="E95" s="6" t="s">
        <v>171</v>
      </c>
      <c r="F95" s="6" t="s">
        <v>172</v>
      </c>
    </row>
    <row r="96" spans="1:6" x14ac:dyDescent="0.2">
      <c r="A96" s="9">
        <v>2016</v>
      </c>
      <c r="B96" s="7">
        <v>13000</v>
      </c>
      <c r="C96" s="8">
        <v>79.3</v>
      </c>
      <c r="D96" s="7">
        <v>10000</v>
      </c>
      <c r="E96" s="8">
        <v>60.3</v>
      </c>
      <c r="F96" s="7"/>
    </row>
    <row r="97" spans="1:6" x14ac:dyDescent="0.2">
      <c r="A97" s="9">
        <v>2017</v>
      </c>
      <c r="B97" s="7">
        <v>13000</v>
      </c>
      <c r="C97" s="8">
        <v>85.3</v>
      </c>
      <c r="D97" s="7">
        <v>12000</v>
      </c>
      <c r="E97" s="8">
        <v>75</v>
      </c>
      <c r="F97" s="7"/>
    </row>
    <row r="98" spans="1:6" x14ac:dyDescent="0.2">
      <c r="A98" s="9">
        <v>2018</v>
      </c>
      <c r="B98" s="7">
        <v>17000</v>
      </c>
      <c r="C98" s="8">
        <v>90.3</v>
      </c>
      <c r="D98" s="7">
        <v>14000</v>
      </c>
      <c r="E98" s="8">
        <v>73.7</v>
      </c>
      <c r="F98" s="7"/>
    </row>
    <row r="99" spans="1:6" x14ac:dyDescent="0.2">
      <c r="A99" s="9">
        <v>2019</v>
      </c>
      <c r="B99" s="7">
        <v>18000</v>
      </c>
      <c r="C99" s="8">
        <v>96.6</v>
      </c>
      <c r="D99" s="7">
        <v>16000</v>
      </c>
      <c r="E99" s="8">
        <v>86.4</v>
      </c>
      <c r="F99" s="7"/>
    </row>
    <row r="100" spans="1:6" x14ac:dyDescent="0.2">
      <c r="A100" s="9">
        <v>2020</v>
      </c>
      <c r="B100" s="7">
        <v>16000</v>
      </c>
      <c r="C100" s="8">
        <v>95.3</v>
      </c>
      <c r="D100" s="7">
        <v>14000</v>
      </c>
      <c r="E100" s="8">
        <v>83.4</v>
      </c>
      <c r="F100" s="7"/>
    </row>
    <row r="101" spans="1:6" x14ac:dyDescent="0.2">
      <c r="A101" s="9">
        <v>2021</v>
      </c>
      <c r="B101" s="7">
        <v>17000</v>
      </c>
      <c r="C101" s="8">
        <v>87.8</v>
      </c>
      <c r="D101" s="7">
        <v>16000</v>
      </c>
      <c r="E101" s="8">
        <v>84.9</v>
      </c>
      <c r="F101" s="7"/>
    </row>
    <row r="102" spans="1:6" x14ac:dyDescent="0.2">
      <c r="A102" s="9">
        <v>2022</v>
      </c>
      <c r="B102" s="7">
        <v>17000</v>
      </c>
      <c r="C102" s="8">
        <v>85.4</v>
      </c>
      <c r="D102" s="7">
        <v>14000</v>
      </c>
      <c r="E102" s="8">
        <v>70.7</v>
      </c>
      <c r="F102" s="7"/>
    </row>
    <row r="103" spans="1:6" x14ac:dyDescent="0.2">
      <c r="A103" s="9">
        <v>2023</v>
      </c>
      <c r="B103" s="7">
        <v>18000</v>
      </c>
      <c r="C103" s="8">
        <v>86.9</v>
      </c>
      <c r="D103" s="7">
        <v>16000</v>
      </c>
      <c r="E103" s="8">
        <v>78</v>
      </c>
      <c r="F103" s="7"/>
    </row>
    <row r="104" spans="1:6" x14ac:dyDescent="0.2">
      <c r="A104" s="9"/>
      <c r="B104" s="7"/>
      <c r="C104" s="8"/>
      <c r="D104" s="7"/>
      <c r="E104" s="8"/>
      <c r="F104" s="7"/>
    </row>
    <row r="105" spans="1:6" ht="15.75" x14ac:dyDescent="0.25">
      <c r="A105" s="3" t="s">
        <v>281</v>
      </c>
    </row>
    <row r="106" spans="1:6" ht="31.5" x14ac:dyDescent="0.25">
      <c r="A106" s="5" t="s">
        <v>167</v>
      </c>
      <c r="B106" s="6" t="s">
        <v>168</v>
      </c>
      <c r="C106" s="6" t="s">
        <v>169</v>
      </c>
      <c r="D106" s="6" t="s">
        <v>170</v>
      </c>
      <c r="E106" s="6" t="s">
        <v>171</v>
      </c>
      <c r="F106" s="6" t="s">
        <v>172</v>
      </c>
    </row>
    <row r="107" spans="1:6" x14ac:dyDescent="0.2">
      <c r="A107" s="9">
        <v>2016</v>
      </c>
      <c r="B107" s="7">
        <v>10000</v>
      </c>
      <c r="C107" s="8">
        <v>92.9</v>
      </c>
      <c r="D107" s="7">
        <v>8000</v>
      </c>
      <c r="E107" s="8">
        <v>68</v>
      </c>
      <c r="F107" s="7"/>
    </row>
    <row r="108" spans="1:6" x14ac:dyDescent="0.2">
      <c r="A108" s="9">
        <v>2017</v>
      </c>
      <c r="B108" s="7">
        <v>11000</v>
      </c>
      <c r="C108" s="8">
        <v>72.7</v>
      </c>
      <c r="D108" s="10">
        <v>9000</v>
      </c>
      <c r="E108" s="11">
        <v>57.8</v>
      </c>
      <c r="F108" s="7" t="s">
        <v>210</v>
      </c>
    </row>
    <row r="109" spans="1:6" x14ac:dyDescent="0.2">
      <c r="A109" s="9">
        <v>2018</v>
      </c>
      <c r="B109" s="7">
        <v>10000</v>
      </c>
      <c r="C109" s="8">
        <v>73</v>
      </c>
      <c r="D109" s="7">
        <v>9000</v>
      </c>
      <c r="E109" s="8">
        <v>64.599999999999994</v>
      </c>
      <c r="F109" s="7"/>
    </row>
    <row r="110" spans="1:6" x14ac:dyDescent="0.2">
      <c r="A110" s="9">
        <v>2019</v>
      </c>
      <c r="B110" s="7">
        <v>14000</v>
      </c>
      <c r="C110" s="8">
        <v>85</v>
      </c>
      <c r="D110" s="7">
        <v>12000</v>
      </c>
      <c r="E110" s="8">
        <v>71.8</v>
      </c>
      <c r="F110" s="7"/>
    </row>
    <row r="111" spans="1:6" x14ac:dyDescent="0.2">
      <c r="A111" s="9">
        <v>2020</v>
      </c>
      <c r="B111" s="7">
        <v>14000</v>
      </c>
      <c r="C111" s="8">
        <v>90.3</v>
      </c>
      <c r="D111" s="7">
        <v>12000</v>
      </c>
      <c r="E111" s="8">
        <v>74.8</v>
      </c>
      <c r="F111" s="7"/>
    </row>
    <row r="112" spans="1:6" x14ac:dyDescent="0.2">
      <c r="A112" s="9">
        <v>2021</v>
      </c>
      <c r="B112" s="7">
        <v>11000</v>
      </c>
      <c r="C112" s="8">
        <v>85.9</v>
      </c>
      <c r="D112" s="7">
        <v>10000</v>
      </c>
      <c r="E112" s="8">
        <v>73.5</v>
      </c>
      <c r="F112" s="7"/>
    </row>
    <row r="113" spans="1:6" x14ac:dyDescent="0.2">
      <c r="A113" s="9">
        <v>2022</v>
      </c>
      <c r="B113" s="7">
        <v>12000</v>
      </c>
      <c r="C113" s="8">
        <v>74.5</v>
      </c>
      <c r="D113" s="7">
        <v>10000</v>
      </c>
      <c r="E113" s="8">
        <v>63.8</v>
      </c>
      <c r="F113" s="7"/>
    </row>
    <row r="114" spans="1:6" x14ac:dyDescent="0.2">
      <c r="A114" s="9">
        <v>2023</v>
      </c>
      <c r="B114" s="7">
        <v>12000</v>
      </c>
      <c r="C114" s="8">
        <v>83.4</v>
      </c>
      <c r="D114" s="7">
        <v>10000</v>
      </c>
      <c r="E114" s="8">
        <v>67.7</v>
      </c>
      <c r="F114" s="7"/>
    </row>
    <row r="115" spans="1:6" x14ac:dyDescent="0.2">
      <c r="A115" s="9"/>
      <c r="B115" s="7"/>
      <c r="C115" s="8"/>
      <c r="D115" s="7"/>
      <c r="E115" s="8"/>
      <c r="F115" s="7"/>
    </row>
    <row r="116" spans="1:6" ht="15.75" x14ac:dyDescent="0.25">
      <c r="A116" s="3" t="s">
        <v>290</v>
      </c>
    </row>
    <row r="117" spans="1:6" ht="31.5" x14ac:dyDescent="0.25">
      <c r="A117" s="5" t="s">
        <v>167</v>
      </c>
      <c r="B117" s="6" t="s">
        <v>168</v>
      </c>
      <c r="C117" s="6" t="s">
        <v>169</v>
      </c>
      <c r="D117" s="6" t="s">
        <v>170</v>
      </c>
      <c r="E117" s="6" t="s">
        <v>171</v>
      </c>
      <c r="F117" s="6" t="s">
        <v>172</v>
      </c>
    </row>
    <row r="118" spans="1:6" x14ac:dyDescent="0.2">
      <c r="A118" s="9">
        <v>2016</v>
      </c>
      <c r="B118" s="7">
        <v>14000</v>
      </c>
      <c r="C118" s="8">
        <v>79.599999999999994</v>
      </c>
      <c r="D118" s="7">
        <v>10000</v>
      </c>
      <c r="E118" s="8">
        <v>56.3</v>
      </c>
      <c r="F118" s="7"/>
    </row>
    <row r="119" spans="1:6" x14ac:dyDescent="0.2">
      <c r="A119" s="9">
        <v>2017</v>
      </c>
      <c r="B119" s="7">
        <v>14000</v>
      </c>
      <c r="C119" s="8">
        <v>78.400000000000006</v>
      </c>
      <c r="D119" s="7">
        <v>12000</v>
      </c>
      <c r="E119" s="8">
        <v>66.599999999999994</v>
      </c>
      <c r="F119" s="7"/>
    </row>
    <row r="120" spans="1:6" x14ac:dyDescent="0.2">
      <c r="A120" s="9">
        <v>2018</v>
      </c>
      <c r="B120" s="7">
        <v>13000</v>
      </c>
      <c r="C120" s="8">
        <v>70.2</v>
      </c>
      <c r="D120" s="7">
        <v>10000</v>
      </c>
      <c r="E120" s="8">
        <v>54.8</v>
      </c>
      <c r="F120" s="7"/>
    </row>
    <row r="121" spans="1:6" x14ac:dyDescent="0.2">
      <c r="A121" s="9">
        <v>2019</v>
      </c>
      <c r="B121" s="7">
        <v>12000</v>
      </c>
      <c r="C121" s="8">
        <v>74.3</v>
      </c>
      <c r="D121" s="7">
        <v>10000</v>
      </c>
      <c r="E121" s="8">
        <v>59.5</v>
      </c>
      <c r="F121" s="7"/>
    </row>
    <row r="122" spans="1:6" x14ac:dyDescent="0.2">
      <c r="A122" s="9">
        <v>2020</v>
      </c>
      <c r="B122" s="7">
        <v>16000</v>
      </c>
      <c r="C122" s="8">
        <v>84.3</v>
      </c>
      <c r="D122" s="7">
        <v>14000</v>
      </c>
      <c r="E122" s="8">
        <v>71.5</v>
      </c>
      <c r="F122" s="7"/>
    </row>
    <row r="123" spans="1:6" x14ac:dyDescent="0.2">
      <c r="A123" s="9">
        <v>2021</v>
      </c>
      <c r="B123" s="7">
        <v>21000</v>
      </c>
      <c r="C123" s="8">
        <v>91.3</v>
      </c>
      <c r="D123" s="7">
        <v>16000</v>
      </c>
      <c r="E123" s="8">
        <v>72.099999999999994</v>
      </c>
      <c r="F123" s="7"/>
    </row>
    <row r="124" spans="1:6" x14ac:dyDescent="0.2">
      <c r="A124" s="9">
        <v>2022</v>
      </c>
      <c r="B124" s="7">
        <v>16000</v>
      </c>
      <c r="C124" s="8">
        <v>89.7</v>
      </c>
      <c r="D124" s="7">
        <v>14000</v>
      </c>
      <c r="E124" s="8">
        <v>81</v>
      </c>
      <c r="F124" s="7"/>
    </row>
    <row r="125" spans="1:6" x14ac:dyDescent="0.2">
      <c r="A125" s="9">
        <v>2023</v>
      </c>
      <c r="B125" s="7">
        <v>14000</v>
      </c>
      <c r="C125" s="8">
        <v>87.4</v>
      </c>
      <c r="D125" s="7">
        <v>13000</v>
      </c>
      <c r="E125" s="8">
        <v>81.3</v>
      </c>
      <c r="F125" s="7"/>
    </row>
    <row r="126" spans="1:6" x14ac:dyDescent="0.2">
      <c r="A126" s="9"/>
      <c r="B126" s="7"/>
      <c r="C126" s="8"/>
      <c r="D126" s="7"/>
      <c r="E126" s="8"/>
      <c r="F126" s="7"/>
    </row>
    <row r="127" spans="1:6" ht="15.75" x14ac:dyDescent="0.25">
      <c r="A127" s="3" t="s">
        <v>228</v>
      </c>
    </row>
    <row r="128" spans="1:6" ht="31.5" x14ac:dyDescent="0.25">
      <c r="A128" s="5" t="s">
        <v>167</v>
      </c>
      <c r="B128" s="6" t="s">
        <v>168</v>
      </c>
      <c r="C128" s="6" t="s">
        <v>169</v>
      </c>
      <c r="D128" s="6" t="s">
        <v>170</v>
      </c>
      <c r="E128" s="6" t="s">
        <v>171</v>
      </c>
      <c r="F128" s="6" t="s">
        <v>172</v>
      </c>
    </row>
    <row r="129" spans="1:6" x14ac:dyDescent="0.2">
      <c r="A129" s="9">
        <v>2016</v>
      </c>
      <c r="B129" s="7">
        <v>16000</v>
      </c>
      <c r="C129" s="8">
        <v>75</v>
      </c>
      <c r="D129" s="10">
        <v>12000</v>
      </c>
      <c r="E129" s="11">
        <v>58.3</v>
      </c>
      <c r="F129" s="7" t="s">
        <v>210</v>
      </c>
    </row>
    <row r="130" spans="1:6" x14ac:dyDescent="0.2">
      <c r="A130" s="9">
        <v>2017</v>
      </c>
      <c r="B130" s="7">
        <v>20000</v>
      </c>
      <c r="C130" s="8">
        <v>77</v>
      </c>
      <c r="D130" s="7">
        <v>14000</v>
      </c>
      <c r="E130" s="8">
        <v>53.5</v>
      </c>
      <c r="F130" s="7"/>
    </row>
    <row r="131" spans="1:6" x14ac:dyDescent="0.2">
      <c r="A131" s="9">
        <v>2018</v>
      </c>
      <c r="B131" s="7">
        <v>16000</v>
      </c>
      <c r="C131" s="8">
        <v>80.7</v>
      </c>
      <c r="D131" s="7">
        <v>11000</v>
      </c>
      <c r="E131" s="8">
        <v>52.3</v>
      </c>
      <c r="F131" s="7"/>
    </row>
    <row r="132" spans="1:6" x14ac:dyDescent="0.2">
      <c r="A132" s="9">
        <v>2019</v>
      </c>
      <c r="B132" s="7">
        <v>18000</v>
      </c>
      <c r="C132" s="8">
        <v>86.1</v>
      </c>
      <c r="D132" s="7">
        <v>15000</v>
      </c>
      <c r="E132" s="8">
        <v>68</v>
      </c>
      <c r="F132" s="7"/>
    </row>
    <row r="133" spans="1:6" x14ac:dyDescent="0.2">
      <c r="A133" s="9">
        <v>2020</v>
      </c>
      <c r="B133" s="7">
        <v>20000</v>
      </c>
      <c r="C133" s="8">
        <v>87.9</v>
      </c>
      <c r="D133" s="7">
        <v>17000</v>
      </c>
      <c r="E133" s="8">
        <v>77.099999999999994</v>
      </c>
      <c r="F133" s="7"/>
    </row>
    <row r="134" spans="1:6" x14ac:dyDescent="0.2">
      <c r="A134" s="9">
        <v>2021</v>
      </c>
      <c r="B134" s="7">
        <v>14000</v>
      </c>
      <c r="C134" s="8">
        <v>90.5</v>
      </c>
      <c r="D134" s="7">
        <v>11000</v>
      </c>
      <c r="E134" s="8">
        <v>70.5</v>
      </c>
      <c r="F134" s="7"/>
    </row>
    <row r="135" spans="1:6" x14ac:dyDescent="0.2">
      <c r="A135" s="9">
        <v>2022</v>
      </c>
      <c r="B135" s="7">
        <v>18000</v>
      </c>
      <c r="C135" s="8">
        <v>92</v>
      </c>
      <c r="D135" s="7">
        <v>14000</v>
      </c>
      <c r="E135" s="8">
        <v>72.2</v>
      </c>
      <c r="F135" s="7"/>
    </row>
    <row r="136" spans="1:6" x14ac:dyDescent="0.2">
      <c r="A136" s="9">
        <v>2023</v>
      </c>
      <c r="B136" s="7">
        <v>16000</v>
      </c>
      <c r="C136" s="8">
        <v>87.1</v>
      </c>
      <c r="D136" s="7">
        <v>13000</v>
      </c>
      <c r="E136" s="8">
        <v>71.400000000000006</v>
      </c>
      <c r="F136" s="7"/>
    </row>
    <row r="137" spans="1:6" x14ac:dyDescent="0.2">
      <c r="A137" s="9"/>
      <c r="B137" s="7"/>
      <c r="C137" s="8"/>
      <c r="D137" s="7"/>
      <c r="E137" s="8"/>
      <c r="F137" s="7"/>
    </row>
  </sheetData>
  <pageMargins left="0.7" right="0.7" top="0.75" bottom="0.75" header="0.3" footer="0.3"/>
  <pageSetup paperSize="9" orientation="portrait" horizontalDpi="300" verticalDpi="300"/>
  <tableParts count="12">
    <tablePart r:id="rId1"/>
    <tablePart r:id="rId2"/>
    <tablePart r:id="rId3"/>
    <tablePart r:id="rId4"/>
    <tablePart r:id="rId5"/>
    <tablePart r:id="rId6"/>
    <tablePart r:id="rId7"/>
    <tablePart r:id="rId8"/>
    <tablePart r:id="rId9"/>
    <tablePart r:id="rId10"/>
    <tablePart r:id="rId11"/>
    <tablePart r:id="rId1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37"/>
  <sheetViews>
    <sheetView workbookViewId="0"/>
  </sheetViews>
  <sheetFormatPr defaultColWidth="10.88671875" defaultRowHeight="15" x14ac:dyDescent="0.2"/>
  <cols>
    <col min="1" max="5" width="18.77734375" customWidth="1"/>
    <col min="6" max="6" width="50.77734375" customWidth="1"/>
  </cols>
  <sheetData>
    <row r="1" spans="1:6" ht="19.5" x14ac:dyDescent="0.3">
      <c r="A1" s="2" t="s">
        <v>229</v>
      </c>
    </row>
    <row r="2" spans="1:6" x14ac:dyDescent="0.2">
      <c r="A2" t="s">
        <v>162</v>
      </c>
    </row>
    <row r="3" spans="1:6" x14ac:dyDescent="0.2">
      <c r="A3" t="s">
        <v>163</v>
      </c>
    </row>
    <row r="4" spans="1:6" x14ac:dyDescent="0.2">
      <c r="A4" t="s">
        <v>164</v>
      </c>
    </row>
    <row r="5" spans="1:6" x14ac:dyDescent="0.2">
      <c r="A5" t="s">
        <v>165</v>
      </c>
    </row>
    <row r="6" spans="1:6" ht="15.75" x14ac:dyDescent="0.25">
      <c r="A6" s="3" t="s">
        <v>230</v>
      </c>
    </row>
    <row r="7" spans="1:6" ht="31.5" x14ac:dyDescent="0.25">
      <c r="A7" s="5" t="s">
        <v>167</v>
      </c>
      <c r="B7" s="6" t="s">
        <v>168</v>
      </c>
      <c r="C7" s="6" t="s">
        <v>169</v>
      </c>
      <c r="D7" s="6" t="s">
        <v>170</v>
      </c>
      <c r="E7" s="6" t="s">
        <v>171</v>
      </c>
      <c r="F7" s="6" t="s">
        <v>172</v>
      </c>
    </row>
    <row r="8" spans="1:6" x14ac:dyDescent="0.2">
      <c r="A8" s="9">
        <v>2016</v>
      </c>
      <c r="B8" s="7">
        <v>265000</v>
      </c>
      <c r="C8" s="8">
        <v>74.900000000000006</v>
      </c>
      <c r="D8" s="7">
        <v>194000</v>
      </c>
      <c r="E8" s="8">
        <v>54.7</v>
      </c>
      <c r="F8" s="7"/>
    </row>
    <row r="9" spans="1:6" x14ac:dyDescent="0.2">
      <c r="A9" s="9">
        <v>2017</v>
      </c>
      <c r="B9" s="7">
        <v>267000</v>
      </c>
      <c r="C9" s="8">
        <v>76.2</v>
      </c>
      <c r="D9" s="7">
        <v>205000</v>
      </c>
      <c r="E9" s="8">
        <v>58.4</v>
      </c>
      <c r="F9" s="7"/>
    </row>
    <row r="10" spans="1:6" x14ac:dyDescent="0.2">
      <c r="A10" s="9">
        <v>2018</v>
      </c>
      <c r="B10" s="7">
        <v>275000</v>
      </c>
      <c r="C10" s="8">
        <v>78.8</v>
      </c>
      <c r="D10" s="7">
        <v>210000</v>
      </c>
      <c r="E10" s="8">
        <v>60.2</v>
      </c>
      <c r="F10" s="7"/>
    </row>
    <row r="11" spans="1:6" x14ac:dyDescent="0.2">
      <c r="A11" s="9">
        <v>2019</v>
      </c>
      <c r="B11" s="7">
        <v>277000</v>
      </c>
      <c r="C11" s="8">
        <v>80.3</v>
      </c>
      <c r="D11" s="7">
        <v>211000</v>
      </c>
      <c r="E11" s="8">
        <v>61.3</v>
      </c>
      <c r="F11" s="7"/>
    </row>
    <row r="12" spans="1:6" x14ac:dyDescent="0.2">
      <c r="A12" s="9">
        <v>2020</v>
      </c>
      <c r="B12" s="7">
        <v>275000</v>
      </c>
      <c r="C12" s="8">
        <v>80.900000000000006</v>
      </c>
      <c r="D12" s="7">
        <v>211000</v>
      </c>
      <c r="E12" s="8">
        <v>61.9</v>
      </c>
      <c r="F12" s="7"/>
    </row>
    <row r="13" spans="1:6" x14ac:dyDescent="0.2">
      <c r="A13" s="9">
        <v>2021</v>
      </c>
      <c r="B13" s="7">
        <v>283000</v>
      </c>
      <c r="C13" s="8">
        <v>83.6</v>
      </c>
      <c r="D13" s="7">
        <v>232000</v>
      </c>
      <c r="E13" s="8">
        <v>68.5</v>
      </c>
      <c r="F13" s="7"/>
    </row>
    <row r="14" spans="1:6" x14ac:dyDescent="0.2">
      <c r="A14" s="9">
        <v>2022</v>
      </c>
      <c r="B14" s="7">
        <v>266000</v>
      </c>
      <c r="C14" s="8">
        <v>80.599999999999994</v>
      </c>
      <c r="D14" s="7">
        <v>210000</v>
      </c>
      <c r="E14" s="8">
        <v>63.5</v>
      </c>
      <c r="F14" s="7"/>
    </row>
    <row r="15" spans="1:6" x14ac:dyDescent="0.2">
      <c r="A15" s="9">
        <v>2023</v>
      </c>
      <c r="B15" s="7">
        <v>282000</v>
      </c>
      <c r="C15" s="8">
        <v>82</v>
      </c>
      <c r="D15" s="7">
        <v>224000</v>
      </c>
      <c r="E15" s="8">
        <v>65.3</v>
      </c>
      <c r="F15" s="7"/>
    </row>
    <row r="16" spans="1:6" x14ac:dyDescent="0.2">
      <c r="A16" s="9"/>
      <c r="B16" s="7"/>
      <c r="C16" s="8"/>
      <c r="D16" s="7"/>
      <c r="E16" s="8"/>
      <c r="F16" s="7"/>
    </row>
    <row r="17" spans="1:6" ht="15.75" x14ac:dyDescent="0.25">
      <c r="A17" s="3" t="s">
        <v>231</v>
      </c>
    </row>
    <row r="18" spans="1:6" ht="31.5" x14ac:dyDescent="0.25">
      <c r="A18" s="5" t="s">
        <v>167</v>
      </c>
      <c r="B18" s="6" t="s">
        <v>168</v>
      </c>
      <c r="C18" s="6" t="s">
        <v>169</v>
      </c>
      <c r="D18" s="6" t="s">
        <v>170</v>
      </c>
      <c r="E18" s="6" t="s">
        <v>171</v>
      </c>
      <c r="F18" s="6" t="s">
        <v>172</v>
      </c>
    </row>
    <row r="19" spans="1:6" x14ac:dyDescent="0.2">
      <c r="A19" s="9">
        <v>2016</v>
      </c>
      <c r="B19" s="7">
        <v>19000</v>
      </c>
      <c r="C19" s="8">
        <v>74.7</v>
      </c>
      <c r="D19" s="7">
        <v>15000</v>
      </c>
      <c r="E19" s="8">
        <v>58</v>
      </c>
      <c r="F19" s="7"/>
    </row>
    <row r="20" spans="1:6" x14ac:dyDescent="0.2">
      <c r="A20" s="9">
        <v>2017</v>
      </c>
      <c r="B20" s="7">
        <v>24000</v>
      </c>
      <c r="C20" s="8">
        <v>90.7</v>
      </c>
      <c r="D20" s="7">
        <v>18000</v>
      </c>
      <c r="E20" s="8">
        <v>68.3</v>
      </c>
      <c r="F20" s="7"/>
    </row>
    <row r="21" spans="1:6" x14ac:dyDescent="0.2">
      <c r="A21" s="9">
        <v>2018</v>
      </c>
      <c r="B21" s="7">
        <v>26000</v>
      </c>
      <c r="C21" s="8">
        <v>85.9</v>
      </c>
      <c r="D21" s="7">
        <v>19000</v>
      </c>
      <c r="E21" s="8">
        <v>61.5</v>
      </c>
      <c r="F21" s="7"/>
    </row>
    <row r="22" spans="1:6" x14ac:dyDescent="0.2">
      <c r="A22" s="9">
        <v>2019</v>
      </c>
      <c r="B22" s="7">
        <v>23000</v>
      </c>
      <c r="C22" s="8">
        <v>85.3</v>
      </c>
      <c r="D22" s="7">
        <v>19000</v>
      </c>
      <c r="E22" s="8">
        <v>70.7</v>
      </c>
      <c r="F22" s="7"/>
    </row>
    <row r="23" spans="1:6" x14ac:dyDescent="0.2">
      <c r="A23" s="9">
        <v>2020</v>
      </c>
      <c r="B23" s="7">
        <v>21000</v>
      </c>
      <c r="C23" s="8">
        <v>88.2</v>
      </c>
      <c r="D23" s="7">
        <v>16000</v>
      </c>
      <c r="E23" s="8">
        <v>67.7</v>
      </c>
      <c r="F23" s="7"/>
    </row>
    <row r="24" spans="1:6" x14ac:dyDescent="0.2">
      <c r="A24" s="9">
        <v>2021</v>
      </c>
      <c r="B24" s="7">
        <v>27000</v>
      </c>
      <c r="C24" s="8">
        <v>91.2</v>
      </c>
      <c r="D24" s="7">
        <v>22000</v>
      </c>
      <c r="E24" s="8">
        <v>73.099999999999994</v>
      </c>
      <c r="F24" s="7"/>
    </row>
    <row r="25" spans="1:6" x14ac:dyDescent="0.2">
      <c r="A25" s="9">
        <v>2022</v>
      </c>
      <c r="B25" s="7">
        <v>20000</v>
      </c>
      <c r="C25" s="8">
        <v>81.2</v>
      </c>
      <c r="D25" s="7">
        <v>15000</v>
      </c>
      <c r="E25" s="8">
        <v>61.9</v>
      </c>
      <c r="F25" s="7"/>
    </row>
    <row r="26" spans="1:6" x14ac:dyDescent="0.2">
      <c r="A26" s="9">
        <v>2023</v>
      </c>
      <c r="B26" s="7">
        <v>24000</v>
      </c>
      <c r="C26" s="8">
        <v>89.6</v>
      </c>
      <c r="D26" s="7">
        <v>19000</v>
      </c>
      <c r="E26" s="8">
        <v>69.3</v>
      </c>
      <c r="F26" s="7"/>
    </row>
    <row r="27" spans="1:6" x14ac:dyDescent="0.2">
      <c r="A27" s="9"/>
      <c r="B27" s="7"/>
      <c r="C27" s="8"/>
      <c r="D27" s="7"/>
      <c r="E27" s="8"/>
      <c r="F27" s="7"/>
    </row>
    <row r="28" spans="1:6" ht="15.75" x14ac:dyDescent="0.25">
      <c r="A28" s="3" t="s">
        <v>232</v>
      </c>
    </row>
    <row r="29" spans="1:6" ht="31.5" x14ac:dyDescent="0.25">
      <c r="A29" s="5" t="s">
        <v>167</v>
      </c>
      <c r="B29" s="6" t="s">
        <v>168</v>
      </c>
      <c r="C29" s="6" t="s">
        <v>169</v>
      </c>
      <c r="D29" s="6" t="s">
        <v>170</v>
      </c>
      <c r="E29" s="6" t="s">
        <v>171</v>
      </c>
      <c r="F29" s="6" t="s">
        <v>172</v>
      </c>
    </row>
    <row r="30" spans="1:6" x14ac:dyDescent="0.2">
      <c r="A30" s="9">
        <v>2016</v>
      </c>
      <c r="B30" s="7">
        <v>25000</v>
      </c>
      <c r="C30" s="8">
        <v>79.900000000000006</v>
      </c>
      <c r="D30" s="7">
        <v>21000</v>
      </c>
      <c r="E30" s="8">
        <v>65.5</v>
      </c>
      <c r="F30" s="7"/>
    </row>
    <row r="31" spans="1:6" x14ac:dyDescent="0.2">
      <c r="A31" s="9">
        <v>2017</v>
      </c>
      <c r="B31" s="7">
        <v>23000</v>
      </c>
      <c r="C31" s="8">
        <v>76.900000000000006</v>
      </c>
      <c r="D31" s="7">
        <v>16000</v>
      </c>
      <c r="E31" s="8">
        <v>54.1</v>
      </c>
      <c r="F31" s="7"/>
    </row>
    <row r="32" spans="1:6" x14ac:dyDescent="0.2">
      <c r="A32" s="9">
        <v>2018</v>
      </c>
      <c r="B32" s="7">
        <v>28000</v>
      </c>
      <c r="C32" s="8">
        <v>80.7</v>
      </c>
      <c r="D32" s="7">
        <v>19000</v>
      </c>
      <c r="E32" s="8">
        <v>55.1</v>
      </c>
      <c r="F32" s="7"/>
    </row>
    <row r="33" spans="1:6" x14ac:dyDescent="0.2">
      <c r="A33" s="9">
        <v>2019</v>
      </c>
      <c r="B33" s="7">
        <v>28000</v>
      </c>
      <c r="C33" s="8">
        <v>86.9</v>
      </c>
      <c r="D33" s="7">
        <v>20000</v>
      </c>
      <c r="E33" s="8">
        <v>60</v>
      </c>
      <c r="F33" s="7"/>
    </row>
    <row r="34" spans="1:6" x14ac:dyDescent="0.2">
      <c r="A34" s="9">
        <v>2020</v>
      </c>
      <c r="B34" s="7">
        <v>26000</v>
      </c>
      <c r="C34" s="8">
        <v>83.2</v>
      </c>
      <c r="D34" s="7">
        <v>20000</v>
      </c>
      <c r="E34" s="8">
        <v>64.7</v>
      </c>
      <c r="F34" s="7"/>
    </row>
    <row r="35" spans="1:6" x14ac:dyDescent="0.2">
      <c r="A35" s="9">
        <v>2021</v>
      </c>
      <c r="B35" s="7">
        <v>21000</v>
      </c>
      <c r="C35" s="8">
        <v>87.2</v>
      </c>
      <c r="D35" s="7">
        <v>17000</v>
      </c>
      <c r="E35" s="8">
        <v>69.5</v>
      </c>
      <c r="F35" s="7"/>
    </row>
    <row r="36" spans="1:6" x14ac:dyDescent="0.2">
      <c r="A36" s="9">
        <v>2022</v>
      </c>
      <c r="B36" s="7">
        <v>23000</v>
      </c>
      <c r="C36" s="8">
        <v>82.9</v>
      </c>
      <c r="D36" s="7">
        <v>18000</v>
      </c>
      <c r="E36" s="8">
        <v>64.099999999999994</v>
      </c>
      <c r="F36" s="7"/>
    </row>
    <row r="37" spans="1:6" x14ac:dyDescent="0.2">
      <c r="A37" s="9">
        <v>2023</v>
      </c>
      <c r="B37" s="7">
        <v>22000</v>
      </c>
      <c r="C37" s="8">
        <v>83.5</v>
      </c>
      <c r="D37" s="7">
        <v>18000</v>
      </c>
      <c r="E37" s="8">
        <v>66.099999999999994</v>
      </c>
      <c r="F37" s="7"/>
    </row>
    <row r="38" spans="1:6" x14ac:dyDescent="0.2">
      <c r="A38" s="9"/>
      <c r="B38" s="7"/>
      <c r="C38" s="8"/>
      <c r="D38" s="7"/>
      <c r="E38" s="8"/>
      <c r="F38" s="7"/>
    </row>
    <row r="39" spans="1:6" ht="15.75" x14ac:dyDescent="0.25">
      <c r="A39" s="3" t="s">
        <v>233</v>
      </c>
    </row>
    <row r="40" spans="1:6" ht="31.5" x14ac:dyDescent="0.25">
      <c r="A40" s="5" t="s">
        <v>167</v>
      </c>
      <c r="B40" s="6" t="s">
        <v>168</v>
      </c>
      <c r="C40" s="6" t="s">
        <v>169</v>
      </c>
      <c r="D40" s="6" t="s">
        <v>170</v>
      </c>
      <c r="E40" s="6" t="s">
        <v>171</v>
      </c>
      <c r="F40" s="6" t="s">
        <v>172</v>
      </c>
    </row>
    <row r="41" spans="1:6" x14ac:dyDescent="0.2">
      <c r="A41" s="9">
        <v>2016</v>
      </c>
      <c r="B41" s="7">
        <v>29000</v>
      </c>
      <c r="C41" s="8">
        <v>67.599999999999994</v>
      </c>
      <c r="D41" s="7">
        <v>20000</v>
      </c>
      <c r="E41" s="8">
        <v>46.1</v>
      </c>
      <c r="F41" s="7"/>
    </row>
    <row r="42" spans="1:6" x14ac:dyDescent="0.2">
      <c r="A42" s="9">
        <v>2017</v>
      </c>
      <c r="B42" s="7">
        <v>29000</v>
      </c>
      <c r="C42" s="8">
        <v>75.400000000000006</v>
      </c>
      <c r="D42" s="7">
        <v>22000</v>
      </c>
      <c r="E42" s="8">
        <v>57.8</v>
      </c>
      <c r="F42" s="7"/>
    </row>
    <row r="43" spans="1:6" x14ac:dyDescent="0.2">
      <c r="A43" s="9">
        <v>2018</v>
      </c>
      <c r="B43" s="7">
        <v>32000</v>
      </c>
      <c r="C43" s="8">
        <v>81.400000000000006</v>
      </c>
      <c r="D43" s="7">
        <v>25000</v>
      </c>
      <c r="E43" s="8">
        <v>63.5</v>
      </c>
      <c r="F43" s="7"/>
    </row>
    <row r="44" spans="1:6" x14ac:dyDescent="0.2">
      <c r="A44" s="9">
        <v>2019</v>
      </c>
      <c r="B44" s="7">
        <v>28000</v>
      </c>
      <c r="C44" s="8">
        <v>78.8</v>
      </c>
      <c r="D44" s="7">
        <v>21000</v>
      </c>
      <c r="E44" s="8">
        <v>59</v>
      </c>
      <c r="F44" s="7"/>
    </row>
    <row r="45" spans="1:6" x14ac:dyDescent="0.2">
      <c r="A45" s="9">
        <v>2020</v>
      </c>
      <c r="B45" s="7">
        <v>34000</v>
      </c>
      <c r="C45" s="8">
        <v>83.8</v>
      </c>
      <c r="D45" s="7">
        <v>26000</v>
      </c>
      <c r="E45" s="8">
        <v>65.7</v>
      </c>
      <c r="F45" s="7"/>
    </row>
    <row r="46" spans="1:6" x14ac:dyDescent="0.2">
      <c r="A46" s="9">
        <v>2021</v>
      </c>
      <c r="B46" s="7">
        <v>34000</v>
      </c>
      <c r="C46" s="8">
        <v>82.6</v>
      </c>
      <c r="D46" s="7">
        <v>28000</v>
      </c>
      <c r="E46" s="8">
        <v>67.400000000000006</v>
      </c>
      <c r="F46" s="7"/>
    </row>
    <row r="47" spans="1:6" x14ac:dyDescent="0.2">
      <c r="A47" s="9">
        <v>2022</v>
      </c>
      <c r="B47" s="7">
        <v>31000</v>
      </c>
      <c r="C47" s="8">
        <v>79.7</v>
      </c>
      <c r="D47" s="7">
        <v>25000</v>
      </c>
      <c r="E47" s="8">
        <v>64.099999999999994</v>
      </c>
      <c r="F47" s="7"/>
    </row>
    <row r="48" spans="1:6" x14ac:dyDescent="0.2">
      <c r="A48" s="9">
        <v>2023</v>
      </c>
      <c r="B48" s="7">
        <v>36000</v>
      </c>
      <c r="C48" s="8">
        <v>84.5</v>
      </c>
      <c r="D48" s="7">
        <v>29000</v>
      </c>
      <c r="E48" s="8">
        <v>69.3</v>
      </c>
      <c r="F48" s="7"/>
    </row>
    <row r="49" spans="1:6" x14ac:dyDescent="0.2">
      <c r="A49" s="9"/>
      <c r="B49" s="7"/>
      <c r="C49" s="8"/>
      <c r="D49" s="7"/>
      <c r="E49" s="8"/>
      <c r="F49" s="7"/>
    </row>
    <row r="50" spans="1:6" ht="15.75" x14ac:dyDescent="0.25">
      <c r="A50" s="3" t="s">
        <v>234</v>
      </c>
    </row>
    <row r="51" spans="1:6" ht="31.5" x14ac:dyDescent="0.25">
      <c r="A51" s="5" t="s">
        <v>167</v>
      </c>
      <c r="B51" s="6" t="s">
        <v>168</v>
      </c>
      <c r="C51" s="6" t="s">
        <v>169</v>
      </c>
      <c r="D51" s="6" t="s">
        <v>170</v>
      </c>
      <c r="E51" s="6" t="s">
        <v>171</v>
      </c>
      <c r="F51" s="6" t="s">
        <v>172</v>
      </c>
    </row>
    <row r="52" spans="1:6" x14ac:dyDescent="0.2">
      <c r="A52" s="9">
        <v>2016</v>
      </c>
      <c r="B52" s="7">
        <v>44000</v>
      </c>
      <c r="C52" s="8">
        <v>71.400000000000006</v>
      </c>
      <c r="D52" s="7">
        <v>31000</v>
      </c>
      <c r="E52" s="8">
        <v>50.4</v>
      </c>
      <c r="F52" s="7"/>
    </row>
    <row r="53" spans="1:6" x14ac:dyDescent="0.2">
      <c r="A53" s="9">
        <v>2017</v>
      </c>
      <c r="B53" s="7">
        <v>41000</v>
      </c>
      <c r="C53" s="8">
        <v>69</v>
      </c>
      <c r="D53" s="7">
        <v>33000</v>
      </c>
      <c r="E53" s="8">
        <v>55.3</v>
      </c>
      <c r="F53" s="7"/>
    </row>
    <row r="54" spans="1:6" x14ac:dyDescent="0.2">
      <c r="A54" s="9">
        <v>2018</v>
      </c>
      <c r="B54" s="7">
        <v>46000</v>
      </c>
      <c r="C54" s="8">
        <v>75.7</v>
      </c>
      <c r="D54" s="7">
        <v>37000</v>
      </c>
      <c r="E54" s="8">
        <v>60.8</v>
      </c>
      <c r="F54" s="7"/>
    </row>
    <row r="55" spans="1:6" x14ac:dyDescent="0.2">
      <c r="A55" s="9">
        <v>2019</v>
      </c>
      <c r="B55" s="7">
        <v>46000</v>
      </c>
      <c r="C55" s="8">
        <v>76.8</v>
      </c>
      <c r="D55" s="7">
        <v>36000</v>
      </c>
      <c r="E55" s="8">
        <v>59.3</v>
      </c>
      <c r="F55" s="7"/>
    </row>
    <row r="56" spans="1:6" x14ac:dyDescent="0.2">
      <c r="A56" s="9">
        <v>2020</v>
      </c>
      <c r="B56" s="7">
        <v>41000</v>
      </c>
      <c r="C56" s="8">
        <v>74.5</v>
      </c>
      <c r="D56" s="7">
        <v>32000</v>
      </c>
      <c r="E56" s="8">
        <v>58</v>
      </c>
      <c r="F56" s="7"/>
    </row>
    <row r="57" spans="1:6" x14ac:dyDescent="0.2">
      <c r="A57" s="9">
        <v>2021</v>
      </c>
      <c r="B57" s="7">
        <v>49000</v>
      </c>
      <c r="C57" s="8">
        <v>80.2</v>
      </c>
      <c r="D57" s="7">
        <v>40000</v>
      </c>
      <c r="E57" s="8">
        <v>66</v>
      </c>
      <c r="F57" s="7"/>
    </row>
    <row r="58" spans="1:6" x14ac:dyDescent="0.2">
      <c r="A58" s="9">
        <v>2022</v>
      </c>
      <c r="B58" s="7">
        <v>46000</v>
      </c>
      <c r="C58" s="8">
        <v>77.8</v>
      </c>
      <c r="D58" s="7">
        <v>36000</v>
      </c>
      <c r="E58" s="8">
        <v>60</v>
      </c>
      <c r="F58" s="7"/>
    </row>
    <row r="59" spans="1:6" x14ac:dyDescent="0.2">
      <c r="A59" s="9">
        <v>2023</v>
      </c>
      <c r="B59" s="7">
        <v>48000</v>
      </c>
      <c r="C59" s="8">
        <v>77</v>
      </c>
      <c r="D59" s="7">
        <v>38000</v>
      </c>
      <c r="E59" s="8">
        <v>59.7</v>
      </c>
      <c r="F59" s="7"/>
    </row>
    <row r="60" spans="1:6" x14ac:dyDescent="0.2">
      <c r="A60" s="9"/>
      <c r="B60" s="7"/>
      <c r="C60" s="8"/>
      <c r="D60" s="7"/>
      <c r="E60" s="8"/>
      <c r="F60" s="7"/>
    </row>
    <row r="61" spans="1:6" ht="15.75" x14ac:dyDescent="0.25">
      <c r="A61" s="3" t="s">
        <v>235</v>
      </c>
    </row>
    <row r="62" spans="1:6" ht="31.5" x14ac:dyDescent="0.25">
      <c r="A62" s="5" t="s">
        <v>167</v>
      </c>
      <c r="B62" s="6" t="s">
        <v>168</v>
      </c>
      <c r="C62" s="6" t="s">
        <v>169</v>
      </c>
      <c r="D62" s="6" t="s">
        <v>170</v>
      </c>
      <c r="E62" s="6" t="s">
        <v>171</v>
      </c>
      <c r="F62" s="6" t="s">
        <v>172</v>
      </c>
    </row>
    <row r="63" spans="1:6" x14ac:dyDescent="0.2">
      <c r="A63" s="9">
        <v>2016</v>
      </c>
      <c r="B63" s="7">
        <v>16000</v>
      </c>
      <c r="C63" s="8">
        <v>75.8</v>
      </c>
      <c r="D63" s="7">
        <v>9000</v>
      </c>
      <c r="E63" s="8">
        <v>40.5</v>
      </c>
      <c r="F63" s="7"/>
    </row>
    <row r="64" spans="1:6" x14ac:dyDescent="0.2">
      <c r="A64" s="9">
        <v>2017</v>
      </c>
      <c r="B64" s="7">
        <v>16000</v>
      </c>
      <c r="C64" s="8">
        <v>74.2</v>
      </c>
      <c r="D64" s="7">
        <v>11000</v>
      </c>
      <c r="E64" s="8">
        <v>54.6</v>
      </c>
      <c r="F64" s="7"/>
    </row>
    <row r="65" spans="1:6" x14ac:dyDescent="0.2">
      <c r="A65" s="9">
        <v>2018</v>
      </c>
      <c r="B65" s="7">
        <v>17000</v>
      </c>
      <c r="C65" s="8">
        <v>75.099999999999994</v>
      </c>
      <c r="D65" s="7">
        <v>11000</v>
      </c>
      <c r="E65" s="8">
        <v>51.7</v>
      </c>
      <c r="F65" s="7"/>
    </row>
    <row r="66" spans="1:6" x14ac:dyDescent="0.2">
      <c r="A66" s="9">
        <v>2019</v>
      </c>
      <c r="B66" s="7">
        <v>20000</v>
      </c>
      <c r="C66" s="8">
        <v>77.8</v>
      </c>
      <c r="D66" s="7">
        <v>15000</v>
      </c>
      <c r="E66" s="8">
        <v>58.3</v>
      </c>
      <c r="F66" s="7"/>
    </row>
    <row r="67" spans="1:6" x14ac:dyDescent="0.2">
      <c r="A67" s="9">
        <v>2020</v>
      </c>
      <c r="B67" s="7">
        <v>19000</v>
      </c>
      <c r="C67" s="8">
        <v>78.5</v>
      </c>
      <c r="D67" s="7">
        <v>14000</v>
      </c>
      <c r="E67" s="8">
        <v>57.9</v>
      </c>
      <c r="F67" s="7"/>
    </row>
    <row r="68" spans="1:6" x14ac:dyDescent="0.2">
      <c r="A68" s="9">
        <v>2021</v>
      </c>
      <c r="B68" s="7">
        <v>16000</v>
      </c>
      <c r="C68" s="8">
        <v>82.6</v>
      </c>
      <c r="D68" s="7">
        <v>12000</v>
      </c>
      <c r="E68" s="8">
        <v>60.3</v>
      </c>
      <c r="F68" s="7"/>
    </row>
    <row r="69" spans="1:6" x14ac:dyDescent="0.2">
      <c r="A69" s="9">
        <v>2022</v>
      </c>
      <c r="B69" s="7">
        <v>17000</v>
      </c>
      <c r="C69" s="8">
        <v>81.7</v>
      </c>
      <c r="D69" s="7">
        <v>13000</v>
      </c>
      <c r="E69" s="8">
        <v>60.9</v>
      </c>
      <c r="F69" s="7"/>
    </row>
    <row r="70" spans="1:6" x14ac:dyDescent="0.2">
      <c r="A70" s="9">
        <v>2023</v>
      </c>
      <c r="B70" s="7">
        <v>20000</v>
      </c>
      <c r="C70" s="8">
        <v>78.3</v>
      </c>
      <c r="D70" s="7">
        <v>16000</v>
      </c>
      <c r="E70" s="8">
        <v>62.1</v>
      </c>
      <c r="F70" s="7"/>
    </row>
    <row r="71" spans="1:6" x14ac:dyDescent="0.2">
      <c r="A71" s="9"/>
      <c r="B71" s="7"/>
      <c r="C71" s="8"/>
      <c r="D71" s="7"/>
      <c r="E71" s="8"/>
      <c r="F71" s="7"/>
    </row>
    <row r="72" spans="1:6" ht="15.75" x14ac:dyDescent="0.25">
      <c r="A72" s="3" t="s">
        <v>236</v>
      </c>
    </row>
    <row r="73" spans="1:6" ht="31.5" x14ac:dyDescent="0.25">
      <c r="A73" s="5" t="s">
        <v>167</v>
      </c>
      <c r="B73" s="6" t="s">
        <v>168</v>
      </c>
      <c r="C73" s="6" t="s">
        <v>169</v>
      </c>
      <c r="D73" s="6" t="s">
        <v>170</v>
      </c>
      <c r="E73" s="6" t="s">
        <v>171</v>
      </c>
      <c r="F73" s="6" t="s">
        <v>172</v>
      </c>
    </row>
    <row r="74" spans="1:6" x14ac:dyDescent="0.2">
      <c r="A74" s="9">
        <v>2016</v>
      </c>
      <c r="B74" s="7">
        <v>19000</v>
      </c>
      <c r="C74" s="8">
        <v>63.4</v>
      </c>
      <c r="D74" s="7">
        <v>13000</v>
      </c>
      <c r="E74" s="8">
        <v>45.6</v>
      </c>
      <c r="F74" s="7"/>
    </row>
    <row r="75" spans="1:6" x14ac:dyDescent="0.2">
      <c r="A75" s="9">
        <v>2017</v>
      </c>
      <c r="B75" s="7">
        <v>23000</v>
      </c>
      <c r="C75" s="8">
        <v>71.900000000000006</v>
      </c>
      <c r="D75" s="7">
        <v>18000</v>
      </c>
      <c r="E75" s="8">
        <v>54.1</v>
      </c>
      <c r="F75" s="7"/>
    </row>
    <row r="76" spans="1:6" x14ac:dyDescent="0.2">
      <c r="A76" s="9">
        <v>2018</v>
      </c>
      <c r="B76" s="7">
        <v>20000</v>
      </c>
      <c r="C76" s="8">
        <v>74.099999999999994</v>
      </c>
      <c r="D76" s="7">
        <v>16000</v>
      </c>
      <c r="E76" s="8">
        <v>57</v>
      </c>
      <c r="F76" s="7"/>
    </row>
    <row r="77" spans="1:6" x14ac:dyDescent="0.2">
      <c r="A77" s="9">
        <v>2019</v>
      </c>
      <c r="B77" s="7">
        <v>20000</v>
      </c>
      <c r="C77" s="8">
        <v>72.400000000000006</v>
      </c>
      <c r="D77" s="7">
        <v>14000</v>
      </c>
      <c r="E77" s="8">
        <v>50.6</v>
      </c>
      <c r="F77" s="7"/>
    </row>
    <row r="78" spans="1:6" x14ac:dyDescent="0.2">
      <c r="A78" s="9">
        <v>2020</v>
      </c>
      <c r="B78" s="7">
        <v>21000</v>
      </c>
      <c r="C78" s="8">
        <v>75.400000000000006</v>
      </c>
      <c r="D78" s="7">
        <v>14000</v>
      </c>
      <c r="E78" s="8">
        <v>48.7</v>
      </c>
      <c r="F78" s="7"/>
    </row>
    <row r="79" spans="1:6" x14ac:dyDescent="0.2">
      <c r="A79" s="9">
        <v>2021</v>
      </c>
      <c r="B79" s="7">
        <v>21000</v>
      </c>
      <c r="C79" s="8">
        <v>86.2</v>
      </c>
      <c r="D79" s="7">
        <v>18000</v>
      </c>
      <c r="E79" s="8">
        <v>71.5</v>
      </c>
      <c r="F79" s="7"/>
    </row>
    <row r="80" spans="1:6" x14ac:dyDescent="0.2">
      <c r="A80" s="9">
        <v>2022</v>
      </c>
      <c r="B80" s="7">
        <v>24000</v>
      </c>
      <c r="C80" s="8">
        <v>85.3</v>
      </c>
      <c r="D80" s="7">
        <v>20000</v>
      </c>
      <c r="E80" s="8">
        <v>68.8</v>
      </c>
      <c r="F80" s="7"/>
    </row>
    <row r="81" spans="1:6" x14ac:dyDescent="0.2">
      <c r="A81" s="9">
        <v>2023</v>
      </c>
      <c r="B81" s="7">
        <v>23000</v>
      </c>
      <c r="C81" s="8">
        <v>79.900000000000006</v>
      </c>
      <c r="D81" s="7">
        <v>19000</v>
      </c>
      <c r="E81" s="8">
        <v>65.400000000000006</v>
      </c>
      <c r="F81" s="7"/>
    </row>
    <row r="82" spans="1:6" x14ac:dyDescent="0.2">
      <c r="A82" s="9"/>
      <c r="B82" s="7"/>
      <c r="C82" s="8"/>
      <c r="D82" s="7"/>
      <c r="E82" s="8"/>
      <c r="F82" s="7"/>
    </row>
    <row r="83" spans="1:6" ht="15.75" x14ac:dyDescent="0.25">
      <c r="A83" s="3" t="s">
        <v>237</v>
      </c>
    </row>
    <row r="84" spans="1:6" ht="31.5" x14ac:dyDescent="0.25">
      <c r="A84" s="5" t="s">
        <v>167</v>
      </c>
      <c r="B84" s="6" t="s">
        <v>168</v>
      </c>
      <c r="C84" s="6" t="s">
        <v>169</v>
      </c>
      <c r="D84" s="6" t="s">
        <v>170</v>
      </c>
      <c r="E84" s="6" t="s">
        <v>171</v>
      </c>
      <c r="F84" s="6" t="s">
        <v>172</v>
      </c>
    </row>
    <row r="85" spans="1:6" x14ac:dyDescent="0.2">
      <c r="A85" s="9">
        <v>2016</v>
      </c>
      <c r="B85" s="7">
        <v>14000</v>
      </c>
      <c r="C85" s="8">
        <v>75.8</v>
      </c>
      <c r="D85" s="7">
        <v>9000</v>
      </c>
      <c r="E85" s="8">
        <v>51.3</v>
      </c>
      <c r="F85" s="7"/>
    </row>
    <row r="86" spans="1:6" x14ac:dyDescent="0.2">
      <c r="A86" s="9">
        <v>2017</v>
      </c>
      <c r="B86" s="7">
        <v>18000</v>
      </c>
      <c r="C86" s="8">
        <v>83.6</v>
      </c>
      <c r="D86" s="7">
        <v>14000</v>
      </c>
      <c r="E86" s="8">
        <v>63.8</v>
      </c>
      <c r="F86" s="7"/>
    </row>
    <row r="87" spans="1:6" x14ac:dyDescent="0.2">
      <c r="A87" s="9">
        <v>2018</v>
      </c>
      <c r="B87" s="7">
        <v>15000</v>
      </c>
      <c r="C87" s="8">
        <v>75.2</v>
      </c>
      <c r="D87" s="7">
        <v>12000</v>
      </c>
      <c r="E87" s="8">
        <v>58</v>
      </c>
      <c r="F87" s="7"/>
    </row>
    <row r="88" spans="1:6" x14ac:dyDescent="0.2">
      <c r="A88" s="9">
        <v>2019</v>
      </c>
      <c r="B88" s="7">
        <v>13000</v>
      </c>
      <c r="C88" s="8">
        <v>71.7</v>
      </c>
      <c r="D88" s="7">
        <v>9000</v>
      </c>
      <c r="E88" s="8">
        <v>52</v>
      </c>
      <c r="F88" s="7"/>
    </row>
    <row r="89" spans="1:6" x14ac:dyDescent="0.2">
      <c r="A89" s="9">
        <v>2020</v>
      </c>
      <c r="B89" s="7">
        <v>16000</v>
      </c>
      <c r="C89" s="8">
        <v>79.2</v>
      </c>
      <c r="D89" s="7">
        <v>11000</v>
      </c>
      <c r="E89" s="8">
        <v>56.9</v>
      </c>
      <c r="F89" s="7"/>
    </row>
    <row r="90" spans="1:6" x14ac:dyDescent="0.2">
      <c r="A90" s="9">
        <v>2021</v>
      </c>
      <c r="B90" s="7">
        <v>14000</v>
      </c>
      <c r="C90" s="8">
        <v>72.099999999999994</v>
      </c>
      <c r="D90" s="7">
        <v>13000</v>
      </c>
      <c r="E90" s="8">
        <v>65.7</v>
      </c>
      <c r="F90" s="7"/>
    </row>
    <row r="91" spans="1:6" x14ac:dyDescent="0.2">
      <c r="A91" s="9">
        <v>2022</v>
      </c>
      <c r="B91" s="7">
        <v>15000</v>
      </c>
      <c r="C91" s="8">
        <v>82.5</v>
      </c>
      <c r="D91" s="7">
        <v>11000</v>
      </c>
      <c r="E91" s="8">
        <v>62.5</v>
      </c>
      <c r="F91" s="7"/>
    </row>
    <row r="92" spans="1:6" x14ac:dyDescent="0.2">
      <c r="A92" s="9">
        <v>2023</v>
      </c>
      <c r="B92" s="7">
        <v>17000</v>
      </c>
      <c r="C92" s="8">
        <v>92</v>
      </c>
      <c r="D92" s="7">
        <v>13000</v>
      </c>
      <c r="E92" s="8">
        <v>72</v>
      </c>
      <c r="F92" s="7"/>
    </row>
    <row r="93" spans="1:6" x14ac:dyDescent="0.2">
      <c r="A93" s="9"/>
      <c r="B93" s="7"/>
      <c r="C93" s="8"/>
      <c r="D93" s="7"/>
      <c r="E93" s="8"/>
      <c r="F93" s="7"/>
    </row>
    <row r="94" spans="1:6" ht="15.75" x14ac:dyDescent="0.25">
      <c r="A94" s="3" t="s">
        <v>238</v>
      </c>
    </row>
    <row r="95" spans="1:6" ht="31.5" x14ac:dyDescent="0.25">
      <c r="A95" s="5" t="s">
        <v>167</v>
      </c>
      <c r="B95" s="6" t="s">
        <v>168</v>
      </c>
      <c r="C95" s="6" t="s">
        <v>169</v>
      </c>
      <c r="D95" s="6" t="s">
        <v>170</v>
      </c>
      <c r="E95" s="6" t="s">
        <v>171</v>
      </c>
      <c r="F95" s="6" t="s">
        <v>172</v>
      </c>
    </row>
    <row r="96" spans="1:6" x14ac:dyDescent="0.2">
      <c r="A96" s="9">
        <v>2016</v>
      </c>
      <c r="B96" s="7">
        <v>26000</v>
      </c>
      <c r="C96" s="8">
        <v>82.8</v>
      </c>
      <c r="D96" s="7">
        <v>22000</v>
      </c>
      <c r="E96" s="8">
        <v>69.7</v>
      </c>
      <c r="F96" s="7"/>
    </row>
    <row r="97" spans="1:6" x14ac:dyDescent="0.2">
      <c r="A97" s="9">
        <v>2017</v>
      </c>
      <c r="B97" s="7">
        <v>27000</v>
      </c>
      <c r="C97" s="8">
        <v>87.2</v>
      </c>
      <c r="D97" s="7">
        <v>22000</v>
      </c>
      <c r="E97" s="8">
        <v>69.3</v>
      </c>
      <c r="F97" s="7"/>
    </row>
    <row r="98" spans="1:6" x14ac:dyDescent="0.2">
      <c r="A98" s="9">
        <v>2018</v>
      </c>
      <c r="B98" s="7">
        <v>22000</v>
      </c>
      <c r="C98" s="8">
        <v>84.8</v>
      </c>
      <c r="D98" s="7">
        <v>17000</v>
      </c>
      <c r="E98" s="8">
        <v>68</v>
      </c>
      <c r="F98" s="7"/>
    </row>
    <row r="99" spans="1:6" x14ac:dyDescent="0.2">
      <c r="A99" s="9">
        <v>2019</v>
      </c>
      <c r="B99" s="7">
        <v>25000</v>
      </c>
      <c r="C99" s="8">
        <v>87.9</v>
      </c>
      <c r="D99" s="7">
        <v>20000</v>
      </c>
      <c r="E99" s="8">
        <v>72.900000000000006</v>
      </c>
      <c r="F99" s="7"/>
    </row>
    <row r="100" spans="1:6" x14ac:dyDescent="0.2">
      <c r="A100" s="9">
        <v>2020</v>
      </c>
      <c r="B100" s="7">
        <v>25000</v>
      </c>
      <c r="C100" s="8">
        <v>88.5</v>
      </c>
      <c r="D100" s="7">
        <v>21000</v>
      </c>
      <c r="E100" s="8">
        <v>74.8</v>
      </c>
      <c r="F100" s="7"/>
    </row>
    <row r="101" spans="1:6" x14ac:dyDescent="0.2">
      <c r="A101" s="9">
        <v>2021</v>
      </c>
      <c r="B101" s="7">
        <v>30000</v>
      </c>
      <c r="C101" s="8">
        <v>88.5</v>
      </c>
      <c r="D101" s="7">
        <v>27000</v>
      </c>
      <c r="E101" s="8">
        <v>77.400000000000006</v>
      </c>
      <c r="F101" s="7"/>
    </row>
    <row r="102" spans="1:6" x14ac:dyDescent="0.2">
      <c r="A102" s="9">
        <v>2022</v>
      </c>
      <c r="B102" s="7">
        <v>24000</v>
      </c>
      <c r="C102" s="8">
        <v>83.7</v>
      </c>
      <c r="D102" s="7">
        <v>21000</v>
      </c>
      <c r="E102" s="8">
        <v>72.5</v>
      </c>
      <c r="F102" s="7"/>
    </row>
    <row r="103" spans="1:6" x14ac:dyDescent="0.2">
      <c r="A103" s="9">
        <v>2023</v>
      </c>
      <c r="B103" s="7">
        <v>22000</v>
      </c>
      <c r="C103" s="8">
        <v>80</v>
      </c>
      <c r="D103" s="7">
        <v>18000</v>
      </c>
      <c r="E103" s="8">
        <v>68</v>
      </c>
      <c r="F103" s="7"/>
    </row>
    <row r="104" spans="1:6" x14ac:dyDescent="0.2">
      <c r="A104" s="9"/>
      <c r="B104" s="7"/>
      <c r="C104" s="8"/>
      <c r="D104" s="7"/>
      <c r="E104" s="8"/>
      <c r="F104" s="7"/>
    </row>
    <row r="105" spans="1:6" ht="15.75" x14ac:dyDescent="0.25">
      <c r="A105" s="3" t="s">
        <v>282</v>
      </c>
    </row>
    <row r="106" spans="1:6" ht="31.5" x14ac:dyDescent="0.25">
      <c r="A106" s="5" t="s">
        <v>167</v>
      </c>
      <c r="B106" s="6" t="s">
        <v>168</v>
      </c>
      <c r="C106" s="6" t="s">
        <v>169</v>
      </c>
      <c r="D106" s="6" t="s">
        <v>170</v>
      </c>
      <c r="E106" s="6" t="s">
        <v>171</v>
      </c>
      <c r="F106" s="6" t="s">
        <v>172</v>
      </c>
    </row>
    <row r="107" spans="1:6" x14ac:dyDescent="0.2">
      <c r="A107" s="9">
        <v>2016</v>
      </c>
      <c r="B107" s="7">
        <v>22000</v>
      </c>
      <c r="C107" s="8">
        <v>83.6</v>
      </c>
      <c r="D107" s="7">
        <v>18000</v>
      </c>
      <c r="E107" s="8">
        <v>67.900000000000006</v>
      </c>
      <c r="F107" s="7"/>
    </row>
    <row r="108" spans="1:6" x14ac:dyDescent="0.2">
      <c r="A108" s="9">
        <v>2017</v>
      </c>
      <c r="B108" s="7">
        <v>18000</v>
      </c>
      <c r="C108" s="8">
        <v>75.599999999999994</v>
      </c>
      <c r="D108" s="7">
        <v>15000</v>
      </c>
      <c r="E108" s="8">
        <v>61.3</v>
      </c>
      <c r="F108" s="7"/>
    </row>
    <row r="109" spans="1:6" x14ac:dyDescent="0.2">
      <c r="A109" s="9">
        <v>2018</v>
      </c>
      <c r="B109" s="7">
        <v>19000</v>
      </c>
      <c r="C109" s="8">
        <v>74.8</v>
      </c>
      <c r="D109" s="7">
        <v>14000</v>
      </c>
      <c r="E109" s="8">
        <v>56.3</v>
      </c>
      <c r="F109" s="7"/>
    </row>
    <row r="110" spans="1:6" x14ac:dyDescent="0.2">
      <c r="A110" s="9">
        <v>2019</v>
      </c>
      <c r="B110" s="7">
        <v>22000</v>
      </c>
      <c r="C110" s="8">
        <v>84.3</v>
      </c>
      <c r="D110" s="7">
        <v>17000</v>
      </c>
      <c r="E110" s="8">
        <v>65.8</v>
      </c>
      <c r="F110" s="7"/>
    </row>
    <row r="111" spans="1:6" x14ac:dyDescent="0.2">
      <c r="A111" s="9">
        <v>2020</v>
      </c>
      <c r="B111" s="7">
        <v>21000</v>
      </c>
      <c r="C111" s="8">
        <v>84.5</v>
      </c>
      <c r="D111" s="7">
        <v>17000</v>
      </c>
      <c r="E111" s="8">
        <v>65.599999999999994</v>
      </c>
      <c r="F111" s="7"/>
    </row>
    <row r="112" spans="1:6" x14ac:dyDescent="0.2">
      <c r="A112" s="9">
        <v>2021</v>
      </c>
      <c r="B112" s="7">
        <v>21000</v>
      </c>
      <c r="C112" s="8">
        <v>83.3</v>
      </c>
      <c r="D112" s="7">
        <v>16000</v>
      </c>
      <c r="E112" s="8">
        <v>62.4</v>
      </c>
      <c r="F112" s="7"/>
    </row>
    <row r="113" spans="1:6" x14ac:dyDescent="0.2">
      <c r="A113" s="9">
        <v>2022</v>
      </c>
      <c r="B113" s="7">
        <v>20000</v>
      </c>
      <c r="C113" s="8">
        <v>87.6</v>
      </c>
      <c r="D113" s="7">
        <v>16000</v>
      </c>
      <c r="E113" s="8">
        <v>68.7</v>
      </c>
      <c r="F113" s="7"/>
    </row>
    <row r="114" spans="1:6" x14ac:dyDescent="0.2">
      <c r="A114" s="9">
        <v>2023</v>
      </c>
      <c r="B114" s="7">
        <v>21000</v>
      </c>
      <c r="C114" s="8">
        <v>88.8</v>
      </c>
      <c r="D114" s="7">
        <v>17000</v>
      </c>
      <c r="E114" s="8">
        <v>71.8</v>
      </c>
      <c r="F114" s="7"/>
    </row>
    <row r="115" spans="1:6" x14ac:dyDescent="0.2">
      <c r="A115" s="9"/>
      <c r="B115" s="7"/>
      <c r="C115" s="8"/>
      <c r="D115" s="7"/>
      <c r="E115" s="8"/>
      <c r="F115" s="7"/>
    </row>
    <row r="116" spans="1:6" ht="15.75" x14ac:dyDescent="0.25">
      <c r="A116" s="3" t="s">
        <v>291</v>
      </c>
    </row>
    <row r="117" spans="1:6" ht="31.5" x14ac:dyDescent="0.25">
      <c r="A117" s="5" t="s">
        <v>167</v>
      </c>
      <c r="B117" s="6" t="s">
        <v>168</v>
      </c>
      <c r="C117" s="6" t="s">
        <v>169</v>
      </c>
      <c r="D117" s="6" t="s">
        <v>170</v>
      </c>
      <c r="E117" s="6" t="s">
        <v>171</v>
      </c>
      <c r="F117" s="6" t="s">
        <v>172</v>
      </c>
    </row>
    <row r="118" spans="1:6" x14ac:dyDescent="0.2">
      <c r="A118" s="9">
        <v>2016</v>
      </c>
      <c r="B118" s="7">
        <v>23000</v>
      </c>
      <c r="C118" s="8">
        <v>73.900000000000006</v>
      </c>
      <c r="D118" s="7">
        <v>15000</v>
      </c>
      <c r="E118" s="8">
        <v>46.4</v>
      </c>
      <c r="F118" s="7"/>
    </row>
    <row r="119" spans="1:6" x14ac:dyDescent="0.2">
      <c r="A119" s="9">
        <v>2017</v>
      </c>
      <c r="B119" s="7">
        <v>25000</v>
      </c>
      <c r="C119" s="8">
        <v>75.099999999999994</v>
      </c>
      <c r="D119" s="7">
        <v>19000</v>
      </c>
      <c r="E119" s="8">
        <v>56.3</v>
      </c>
      <c r="F119" s="7"/>
    </row>
    <row r="120" spans="1:6" x14ac:dyDescent="0.2">
      <c r="A120" s="9">
        <v>2018</v>
      </c>
      <c r="B120" s="7">
        <v>24000</v>
      </c>
      <c r="C120" s="8">
        <v>83.3</v>
      </c>
      <c r="D120" s="7">
        <v>20000</v>
      </c>
      <c r="E120" s="8">
        <v>68.3</v>
      </c>
      <c r="F120" s="7"/>
    </row>
    <row r="121" spans="1:6" x14ac:dyDescent="0.2">
      <c r="A121" s="9">
        <v>2019</v>
      </c>
      <c r="B121" s="7">
        <v>23000</v>
      </c>
      <c r="C121" s="8">
        <v>78.3</v>
      </c>
      <c r="D121" s="7">
        <v>18000</v>
      </c>
      <c r="E121" s="8">
        <v>61.3</v>
      </c>
      <c r="F121" s="7"/>
    </row>
    <row r="122" spans="1:6" x14ac:dyDescent="0.2">
      <c r="A122" s="9">
        <v>2020</v>
      </c>
      <c r="B122" s="7">
        <v>22000</v>
      </c>
      <c r="C122" s="8">
        <v>74.900000000000006</v>
      </c>
      <c r="D122" s="7">
        <v>18000</v>
      </c>
      <c r="E122" s="8">
        <v>59.5</v>
      </c>
      <c r="F122" s="7"/>
    </row>
    <row r="123" spans="1:6" x14ac:dyDescent="0.2">
      <c r="A123" s="9">
        <v>2021</v>
      </c>
      <c r="B123" s="7">
        <v>23000</v>
      </c>
      <c r="C123" s="8">
        <v>83.2</v>
      </c>
      <c r="D123" s="7">
        <v>19000</v>
      </c>
      <c r="E123" s="8">
        <v>69.900000000000006</v>
      </c>
      <c r="F123" s="7"/>
    </row>
    <row r="124" spans="1:6" x14ac:dyDescent="0.2">
      <c r="A124" s="9">
        <v>2022</v>
      </c>
      <c r="B124" s="7">
        <v>21000</v>
      </c>
      <c r="C124" s="8">
        <v>74.2</v>
      </c>
      <c r="D124" s="7">
        <v>17000</v>
      </c>
      <c r="E124" s="8">
        <v>59.4</v>
      </c>
      <c r="F124" s="7"/>
    </row>
    <row r="125" spans="1:6" x14ac:dyDescent="0.2">
      <c r="A125" s="9">
        <v>2023</v>
      </c>
      <c r="B125" s="7">
        <v>20000</v>
      </c>
      <c r="C125" s="8">
        <v>73.599999999999994</v>
      </c>
      <c r="D125" s="7">
        <v>14000</v>
      </c>
      <c r="E125" s="8">
        <v>52.2</v>
      </c>
      <c r="F125" s="7"/>
    </row>
    <row r="126" spans="1:6" x14ac:dyDescent="0.2">
      <c r="A126" s="9"/>
      <c r="B126" s="7"/>
      <c r="C126" s="8"/>
      <c r="D126" s="7"/>
      <c r="E126" s="8"/>
      <c r="F126" s="7"/>
    </row>
    <row r="127" spans="1:6" ht="15.75" x14ac:dyDescent="0.25">
      <c r="A127" s="3" t="s">
        <v>239</v>
      </c>
    </row>
    <row r="128" spans="1:6" ht="31.5" x14ac:dyDescent="0.25">
      <c r="A128" s="5" t="s">
        <v>167</v>
      </c>
      <c r="B128" s="6" t="s">
        <v>168</v>
      </c>
      <c r="C128" s="6" t="s">
        <v>169</v>
      </c>
      <c r="D128" s="6" t="s">
        <v>170</v>
      </c>
      <c r="E128" s="6" t="s">
        <v>171</v>
      </c>
      <c r="F128" s="6" t="s">
        <v>172</v>
      </c>
    </row>
    <row r="129" spans="1:6" x14ac:dyDescent="0.2">
      <c r="A129" s="9">
        <v>2016</v>
      </c>
      <c r="B129" s="7">
        <v>28000</v>
      </c>
      <c r="C129" s="8">
        <v>82</v>
      </c>
      <c r="D129" s="7">
        <v>21000</v>
      </c>
      <c r="E129" s="8">
        <v>63.7</v>
      </c>
      <c r="F129" s="7"/>
    </row>
    <row r="130" spans="1:6" x14ac:dyDescent="0.2">
      <c r="A130" s="9">
        <v>2017</v>
      </c>
      <c r="B130" s="7">
        <v>23000</v>
      </c>
      <c r="C130" s="8">
        <v>69.7</v>
      </c>
      <c r="D130" s="7">
        <v>18000</v>
      </c>
      <c r="E130" s="8">
        <v>53.8</v>
      </c>
      <c r="F130" s="7"/>
    </row>
    <row r="131" spans="1:6" x14ac:dyDescent="0.2">
      <c r="A131" s="9">
        <v>2018</v>
      </c>
      <c r="B131" s="7">
        <v>26000</v>
      </c>
      <c r="C131" s="8">
        <v>76</v>
      </c>
      <c r="D131" s="7">
        <v>20000</v>
      </c>
      <c r="E131" s="8">
        <v>59.1</v>
      </c>
      <c r="F131" s="7"/>
    </row>
    <row r="132" spans="1:6" x14ac:dyDescent="0.2">
      <c r="A132" s="9">
        <v>2019</v>
      </c>
      <c r="B132" s="7">
        <v>28000</v>
      </c>
      <c r="C132" s="8">
        <v>82.9</v>
      </c>
      <c r="D132" s="7">
        <v>21000</v>
      </c>
      <c r="E132" s="8">
        <v>63.6</v>
      </c>
      <c r="F132" s="7"/>
    </row>
    <row r="133" spans="1:6" x14ac:dyDescent="0.2">
      <c r="A133" s="9">
        <v>2020</v>
      </c>
      <c r="B133" s="7">
        <v>29000</v>
      </c>
      <c r="C133" s="8">
        <v>84.5</v>
      </c>
      <c r="D133" s="7">
        <v>21000</v>
      </c>
      <c r="E133" s="8">
        <v>62.3</v>
      </c>
      <c r="F133" s="7"/>
    </row>
    <row r="134" spans="1:6" x14ac:dyDescent="0.2">
      <c r="A134" s="9">
        <v>2021</v>
      </c>
      <c r="B134" s="7">
        <v>26000</v>
      </c>
      <c r="C134" s="8">
        <v>82.4</v>
      </c>
      <c r="D134" s="7">
        <v>21000</v>
      </c>
      <c r="E134" s="8">
        <v>68.400000000000006</v>
      </c>
      <c r="F134" s="7"/>
    </row>
    <row r="135" spans="1:6" x14ac:dyDescent="0.2">
      <c r="A135" s="9">
        <v>2022</v>
      </c>
      <c r="B135" s="7">
        <v>24000</v>
      </c>
      <c r="C135" s="8">
        <v>75.7</v>
      </c>
      <c r="D135" s="7">
        <v>18000</v>
      </c>
      <c r="E135" s="8">
        <v>58.9</v>
      </c>
      <c r="F135" s="7"/>
    </row>
    <row r="136" spans="1:6" x14ac:dyDescent="0.2">
      <c r="A136" s="9">
        <v>2023</v>
      </c>
      <c r="B136" s="7">
        <v>29000</v>
      </c>
      <c r="C136" s="8">
        <v>83.5</v>
      </c>
      <c r="D136" s="7">
        <v>24000</v>
      </c>
      <c r="E136" s="8">
        <v>68.8</v>
      </c>
      <c r="F136" s="7"/>
    </row>
    <row r="137" spans="1:6" x14ac:dyDescent="0.2">
      <c r="A137" s="9"/>
      <c r="B137" s="7"/>
      <c r="C137" s="8"/>
      <c r="D137" s="7"/>
      <c r="E137" s="8"/>
      <c r="F137" s="7"/>
    </row>
  </sheetData>
  <pageMargins left="0.7" right="0.7" top="0.75" bottom="0.75" header="0.3" footer="0.3"/>
  <pageSetup paperSize="9" orientation="portrait" horizontalDpi="300" verticalDpi="300"/>
  <tableParts count="12">
    <tablePart r:id="rId1"/>
    <tablePart r:id="rId2"/>
    <tablePart r:id="rId3"/>
    <tablePart r:id="rId4"/>
    <tablePart r:id="rId5"/>
    <tablePart r:id="rId6"/>
    <tablePart r:id="rId7"/>
    <tablePart r:id="rId8"/>
    <tablePart r:id="rId9"/>
    <tablePart r:id="rId10"/>
    <tablePart r:id="rId1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 Sheet</vt:lpstr>
      <vt:lpstr>Table of Contents</vt:lpstr>
      <vt:lpstr>Notes</vt:lpstr>
      <vt:lpstr>NI</vt:lpstr>
      <vt:lpstr>Male</vt:lpstr>
      <vt:lpstr>Female</vt:lpstr>
      <vt:lpstr>Aged_16_to_24</vt:lpstr>
      <vt:lpstr>Aged_25_to_34</vt:lpstr>
      <vt:lpstr>Aged_35_to_49</vt:lpstr>
      <vt:lpstr>Aged_50_to_64</vt:lpstr>
      <vt:lpstr>Disabled</vt:lpstr>
      <vt:lpstr>Not_disabled</vt:lpstr>
      <vt:lpstr>Deprivation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Labour-force-survey-September_2023</dc:title>
  <dc:creator>2347870</dc:creator>
  <cp:lastModifiedBy>McAteer, Holly</cp:lastModifiedBy>
  <dcterms:created xsi:type="dcterms:W3CDTF">2024-09-18T14:16:38Z</dcterms:created>
  <dcterms:modified xsi:type="dcterms:W3CDTF">2024-10-03T07:45:22Z</dcterms:modified>
</cp:coreProperties>
</file>